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h\open\Economisch\kostprijs long canes HFB\"/>
    </mc:Choice>
  </mc:AlternateContent>
  <xr:revisionPtr revIDLastSave="0" documentId="13_ncr:1_{396A47AB-3117-4BB0-A44A-AB2965A360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gemeen" sheetId="1" r:id="rId1"/>
    <sheet name="standaardgegevens" sheetId="3" r:id="rId2"/>
    <sheet name="berekening" sheetId="4" r:id="rId3"/>
    <sheet name="simulatie HFB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8" i="4" l="1"/>
  <c r="B148" i="4"/>
  <c r="B157" i="4"/>
  <c r="D116" i="4"/>
  <c r="B172" i="4"/>
  <c r="B128" i="4"/>
  <c r="B297" i="4" l="1"/>
  <c r="B284" i="4"/>
  <c r="B276" i="4"/>
  <c r="B278" i="4" s="1"/>
  <c r="B266" i="4"/>
  <c r="B267" i="4"/>
  <c r="B269" i="4"/>
  <c r="C264" i="4"/>
  <c r="C266" i="4"/>
  <c r="C267" i="4"/>
  <c r="C269" i="4"/>
  <c r="C263" i="4"/>
  <c r="B264" i="4"/>
  <c r="B263" i="4"/>
  <c r="A163" i="3"/>
  <c r="D23" i="4"/>
  <c r="B5" i="4"/>
  <c r="D119" i="4" s="1"/>
  <c r="B4" i="4"/>
  <c r="B174" i="4" s="1"/>
  <c r="B170" i="4"/>
  <c r="B313" i="4"/>
  <c r="B312" i="4"/>
  <c r="B311" i="4"/>
  <c r="B194" i="4"/>
  <c r="D118" i="4" l="1"/>
  <c r="B130" i="4"/>
  <c r="B280" i="4"/>
  <c r="B286" i="4"/>
  <c r="D269" i="4"/>
  <c r="D264" i="4"/>
  <c r="D263" i="4"/>
  <c r="D117" i="4"/>
  <c r="C11" i="2"/>
  <c r="B315" i="4"/>
  <c r="B317" i="4" s="1"/>
  <c r="C19" i="2" s="1"/>
  <c r="E217" i="4"/>
  <c r="E220" i="4"/>
  <c r="E218" i="4"/>
  <c r="E219" i="4"/>
  <c r="B195" i="4"/>
  <c r="C15" i="2" s="1"/>
  <c r="B187" i="4"/>
  <c r="C187" i="4" s="1"/>
  <c r="B186" i="4"/>
  <c r="C186" i="4" s="1"/>
  <c r="B185" i="4"/>
  <c r="C185" i="4" s="1"/>
  <c r="B184" i="4"/>
  <c r="C184" i="4" s="1"/>
  <c r="B183" i="4"/>
  <c r="C183" i="4" s="1"/>
  <c r="B182" i="4"/>
  <c r="C182" i="4" s="1"/>
  <c r="B181" i="4"/>
  <c r="C181" i="4" s="1"/>
  <c r="A182" i="4"/>
  <c r="A183" i="4"/>
  <c r="A184" i="4"/>
  <c r="A157" i="4"/>
  <c r="B160" i="4"/>
  <c r="D160" i="4" s="1"/>
  <c r="D92" i="3"/>
  <c r="D93" i="3"/>
  <c r="D161" i="4" s="1"/>
  <c r="D162" i="4"/>
  <c r="A159" i="4"/>
  <c r="B158" i="4"/>
  <c r="B242" i="4"/>
  <c r="A158" i="4"/>
  <c r="A160" i="4"/>
  <c r="A161" i="4"/>
  <c r="A162" i="4"/>
  <c r="B245" i="4"/>
  <c r="E80" i="4"/>
  <c r="E81" i="4"/>
  <c r="E82" i="4"/>
  <c r="E83" i="4"/>
  <c r="E84" i="4"/>
  <c r="E79" i="4"/>
  <c r="E71" i="4"/>
  <c r="E72" i="4"/>
  <c r="E73" i="4"/>
  <c r="E74" i="4"/>
  <c r="E75" i="4"/>
  <c r="E76" i="4"/>
  <c r="E70" i="4"/>
  <c r="B60" i="3"/>
  <c r="B21" i="3"/>
  <c r="C190" i="4" l="1"/>
  <c r="C14" i="2" s="1"/>
  <c r="B188" i="4"/>
  <c r="F80" i="4"/>
  <c r="G80" i="4" s="1"/>
  <c r="F81" i="4"/>
  <c r="G81" i="4" s="1"/>
  <c r="F82" i="4"/>
  <c r="G82" i="4" s="1"/>
  <c r="F83" i="4"/>
  <c r="G83" i="4" s="1"/>
  <c r="F84" i="4"/>
  <c r="G84" i="4" s="1"/>
  <c r="F79" i="4"/>
  <c r="G79" i="4" s="1"/>
  <c r="H79" i="4" l="1"/>
  <c r="F218" i="4" l="1"/>
  <c r="F219" i="4"/>
  <c r="F220" i="4"/>
  <c r="F217" i="4"/>
  <c r="D221" i="4"/>
  <c r="B300" i="4"/>
  <c r="C300" i="4" s="1"/>
  <c r="B299" i="4"/>
  <c r="C34" i="3"/>
  <c r="C35" i="3"/>
  <c r="C33" i="3"/>
  <c r="B34" i="3"/>
  <c r="B35" i="3"/>
  <c r="B33" i="3"/>
  <c r="B209" i="4"/>
  <c r="B93" i="4"/>
  <c r="B94" i="4" s="1"/>
  <c r="B95" i="4" s="1"/>
  <c r="B103" i="4" s="1"/>
  <c r="B56" i="4"/>
  <c r="D56" i="4" s="1"/>
  <c r="B57" i="4"/>
  <c r="D57" i="4" s="1"/>
  <c r="B55" i="4"/>
  <c r="D55" i="4" s="1"/>
  <c r="F221" i="4" l="1"/>
  <c r="B210" i="4" s="1"/>
  <c r="B211" i="4" s="1"/>
  <c r="B58" i="4"/>
  <c r="F71" i="4" l="1"/>
  <c r="G71" i="4" s="1"/>
  <c r="F72" i="4"/>
  <c r="G72" i="4" s="1"/>
  <c r="F73" i="4"/>
  <c r="G73" i="4" s="1"/>
  <c r="F74" i="4"/>
  <c r="G74" i="4" s="1"/>
  <c r="F75" i="4"/>
  <c r="G75" i="4" s="1"/>
  <c r="F76" i="4"/>
  <c r="G76" i="4" s="1"/>
  <c r="H75" i="4" l="1"/>
  <c r="B12" i="3" l="1"/>
  <c r="B298" i="4" l="1"/>
  <c r="C298" i="4" s="1"/>
  <c r="C299" i="4" s="1"/>
  <c r="B301" i="4"/>
  <c r="B302" i="4"/>
  <c r="A269" i="4" l="1"/>
  <c r="C302" i="4"/>
  <c r="C301" i="4"/>
  <c r="C297" i="4"/>
  <c r="B33" i="4"/>
  <c r="B34" i="4" s="1"/>
  <c r="C7" i="2" s="1"/>
  <c r="B40" i="4"/>
  <c r="B41" i="4" s="1"/>
  <c r="C8" i="2" s="1"/>
  <c r="B159" i="4" l="1"/>
  <c r="D159" i="4" s="1"/>
  <c r="C304" i="4"/>
  <c r="B50" i="4"/>
  <c r="B51" i="4" s="1"/>
  <c r="D267" i="4"/>
  <c r="D266" i="4"/>
  <c r="D270" i="4" l="1"/>
  <c r="C306" i="4"/>
  <c r="C18" i="2" s="1"/>
  <c r="B60" i="4"/>
  <c r="B62" i="4" s="1"/>
  <c r="B86" i="4"/>
  <c r="B121" i="4"/>
  <c r="B115" i="4"/>
  <c r="D115" i="4" s="1"/>
  <c r="D272" i="4" l="1"/>
  <c r="B293" i="4" s="1"/>
  <c r="C17" i="2" s="1"/>
  <c r="B291" i="4"/>
  <c r="B102" i="4"/>
  <c r="B246" i="4"/>
  <c r="B129" i="3"/>
  <c r="D121" i="4" l="1"/>
  <c r="D123" i="4" s="1"/>
  <c r="B135" i="4" s="1"/>
  <c r="C10" i="2" s="1"/>
  <c r="B244" i="4"/>
  <c r="B247" i="4" s="1"/>
  <c r="B243" i="4"/>
  <c r="B203" i="4"/>
  <c r="C203" i="4"/>
  <c r="C204" i="4" s="1"/>
  <c r="B149" i="4" l="1"/>
  <c r="E145" i="4"/>
  <c r="E146" i="4"/>
  <c r="C144" i="4"/>
  <c r="B82" i="3"/>
  <c r="C149" i="4" s="1"/>
  <c r="B143" i="4"/>
  <c r="C143" i="4" s="1"/>
  <c r="B144" i="4"/>
  <c r="B147" i="4"/>
  <c r="E147" i="4" s="1"/>
  <c r="C142" i="4"/>
  <c r="E142" i="4" s="1"/>
  <c r="C141" i="4"/>
  <c r="E141" i="4" s="1"/>
  <c r="C18" i="4"/>
  <c r="C19" i="4"/>
  <c r="C17" i="4"/>
  <c r="C14" i="4"/>
  <c r="E149" i="4" l="1"/>
  <c r="E144" i="4"/>
  <c r="E143" i="4"/>
  <c r="B18" i="4"/>
  <c r="D18" i="4" s="1"/>
  <c r="B19" i="4"/>
  <c r="D19" i="4" s="1"/>
  <c r="B17" i="4"/>
  <c r="D17" i="4" s="1"/>
  <c r="B14" i="4"/>
  <c r="D14" i="4" s="1"/>
  <c r="E150" i="4" l="1"/>
  <c r="E152" i="4" s="1"/>
  <c r="C12" i="2" s="1"/>
  <c r="D20" i="4" l="1"/>
  <c r="D26" i="4" s="1"/>
  <c r="D29" i="4" s="1"/>
  <c r="H236" i="4"/>
  <c r="I236" i="4" s="1"/>
  <c r="H235" i="4"/>
  <c r="I235" i="4" s="1"/>
  <c r="H234" i="4"/>
  <c r="I234" i="4" s="1"/>
  <c r="H233" i="4"/>
  <c r="I233" i="4" s="1"/>
  <c r="H232" i="4"/>
  <c r="I232" i="4" s="1"/>
  <c r="H231" i="4"/>
  <c r="I231" i="4" s="1"/>
  <c r="H230" i="4"/>
  <c r="I230" i="4" s="1"/>
  <c r="H229" i="4"/>
  <c r="I229" i="4" s="1"/>
  <c r="H228" i="4"/>
  <c r="I228" i="4" s="1"/>
  <c r="H227" i="4"/>
  <c r="I227" i="4" s="1"/>
  <c r="H226" i="4"/>
  <c r="I226" i="4" s="1"/>
  <c r="H225" i="4"/>
  <c r="I225" i="4" s="1"/>
  <c r="C6" i="2" l="1"/>
  <c r="I237" i="4"/>
  <c r="B251" i="4" s="1"/>
  <c r="C254" i="4" s="1"/>
  <c r="C16" i="2" s="1"/>
  <c r="D91" i="3" l="1"/>
  <c r="D90" i="3"/>
  <c r="D158" i="4" s="1"/>
  <c r="D89" i="3"/>
  <c r="D157" i="4" s="1"/>
  <c r="H137" i="3"/>
  <c r="H138" i="3"/>
  <c r="H139" i="3"/>
  <c r="H140" i="3"/>
  <c r="H141" i="3"/>
  <c r="H142" i="3"/>
  <c r="H143" i="3"/>
  <c r="H144" i="3"/>
  <c r="H145" i="3"/>
  <c r="H146" i="3"/>
  <c r="H147" i="3"/>
  <c r="H136" i="3"/>
  <c r="D163" i="4" l="1"/>
  <c r="D165" i="4" s="1"/>
  <c r="C13" i="2" s="1"/>
  <c r="H148" i="3"/>
  <c r="F70" i="4"/>
  <c r="G70" i="4" s="1"/>
  <c r="H71" i="4" s="1"/>
  <c r="B87" i="4" s="1"/>
  <c r="B89" i="4" l="1"/>
  <c r="B101" i="4"/>
  <c r="B105" i="4" s="1"/>
  <c r="B107" i="4" s="1"/>
  <c r="C9" i="2" s="1"/>
  <c r="C21" i="2" s="1"/>
  <c r="C2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Kerbusch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bijv. plukkaart= loon + alle kosten (sociaal secretariaat, verzekeringen. Etc..) prijs 2022
</t>
        </r>
      </text>
    </comment>
    <comment ref="B1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gekregen 22/11/21</t>
        </r>
      </text>
    </comment>
    <comment ref="B2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substraat Legro rc 2 incl. osmocote en transporttoeslag</t>
        </r>
      </text>
    </comment>
    <comment ref="B2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100 % benutting = geen kopakker. Grotere opkweekpercelen van meerdere ha andere benuttingsfactor dan kleine percelen. 
</t>
        </r>
      </text>
    </comment>
    <comment ref="B2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gaat de plant slechts 1 teelt mee (bijv. bij zomerframboos = 100 %, gaat de plant drie teelten mee dan kan je opteren om 33 % in te geven)</t>
        </r>
      </text>
    </comment>
    <comment ref="B4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ankers en palen komt te vervallen indien gewerkt met regenkap</t>
        </r>
      </text>
    </comment>
    <comment ref="B4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in deze post kunnen grote verschillen tussen bedrijven voorkomen afh. Van automatisatienivau</t>
        </r>
      </text>
    </comment>
    <comment ref="B4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wanneer niet ingevuld wordt gerekend met 1 druppelaar/pot</t>
        </r>
      </text>
    </comment>
    <comment ref="B5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situatie waarbij wordt aangesloten op een unit, zoniet kan je de totale kost van dosatron etc; invullen, (prijseffect op meststof wordt niet autom. Berekend)</t>
        </r>
      </text>
    </comment>
    <comment ref="B54" authorId="0" shapeId="0" xr:uid="{9AB4ED58-FF45-4783-B3BC-7E298179693A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all-in = inclusief prijs aanleg bassin + opbrengstderving grond waar bassin op staat</t>
        </r>
      </text>
    </comment>
    <comment ref="B61" authorId="0" shapeId="0" xr:uid="{20122BFB-9B51-4791-9189-3A79559B72CB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het aantal kisten dat bijv. op een oplegger passen bij loontransport</t>
        </r>
      </text>
    </comment>
    <comment ref="B65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gepachte grond = pachtprijs ; gekochte grond = prijs opkleven (eeuwig dilemma: is grond een kost of investering?)</t>
        </r>
      </text>
    </comment>
    <comment ref="B69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Geef jaarkost in (€) (som van jaarkosten alle extra mechanisatie)</t>
        </r>
      </text>
    </comment>
    <comment ref="B70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Geef jaarkost in (€)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Kerbusch</author>
  </authors>
  <commentList>
    <comment ref="A33" authorId="0" shapeId="0" xr:uid="{BBE7C475-E935-408E-80B8-A9801C1FF69E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u kan een simulatie maken van benodigde wateropslag door gebruik te maken van de rekentool hemelwateropslag website PCS</t>
        </r>
      </text>
    </comment>
    <comment ref="A6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offerte Maïs. 400 m darm dia 20 mmmet 1600 druppelaars kameleon 2 l, geponst op 25 cm. Incl. kraantje begin + einde leiding</t>
        </r>
      </text>
    </comment>
    <comment ref="A6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Theunissen watertechniek per 1000 stuks kameleon rood
2 l
</t>
        </r>
      </text>
    </comment>
    <comment ref="A62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Vos Kunsstoffen . Er wordt van uit gegaan dat er per ha 100 m aanvoerleiding op het perceel is + 50 m naar unit
</t>
        </r>
      </text>
    </comment>
    <comment ref="A63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elek kraan + werkuren installateur voor koppeling unit
</t>
        </r>
      </text>
    </comment>
    <comment ref="A64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prijzen Vos kunstof: T stuk 50 mm 1,33 €/stuk; knie 20 mm 0,63 €/stuk ; slangpilaar 20 mm 0,87 €/stuk</t>
        </r>
      </text>
    </comment>
    <comment ref="A76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7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Duranet 23/04/20
</t>
        </r>
      </text>
    </comment>
    <comment ref="A78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Duranet 23/04/20</t>
        </r>
      </text>
    </comment>
    <comment ref="A79" authorId="0" shapeId="0" xr:uid="{2B8CA7A5-92D9-4223-96DC-AE32E5373B9F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graszaaddirect.nl 131,95 € voor 15 kg</t>
        </r>
      </text>
    </comment>
    <comment ref="A80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Kwin 2010 125 €</t>
        </r>
      </text>
    </comment>
    <comment ref="A82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Kwin gronddoek aanbrengen 55 u/ha, draden spannen 50 u en palen zetten 50 u</t>
        </r>
      </text>
    </comment>
    <comment ref="A91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6 stuks/ha opkweek
</t>
        </r>
      </text>
    </comment>
    <comment ref="A101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Anthé: vanaf grotere afnames 48 €/kist</t>
        </r>
      </text>
    </comment>
    <comment ref="A103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(prijs loonwerk transport van 1 oplegger 24 kisten)</t>
        </r>
      </text>
    </comment>
    <comment ref="A107" authorId="0" shapeId="0" xr:uid="{27D348A9-6BBC-4D13-98FA-7416A653E64A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potmaat beinvloedt sterk arbeidsduur inpakken, niet meegenomen in simulatie</t>
        </r>
      </text>
    </comment>
    <comment ref="A127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cijfers proeftuin incl. vullen en naar perceel rijden</t>
        </r>
      </text>
    </comment>
    <comment ref="A128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9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aanname: de trekker zet hetzelfde aantal uur op de teller als de arbeidsuren (in de praktijk wordt dit beïnvloedt door het toerental van de motor)</t>
        </r>
      </text>
    </comment>
    <comment ref="A131" authorId="0" shapeId="0" xr:uid="{D22E2AF4-71EB-4C89-B31C-651672A820A6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% toekennen afh. Van oppervlakte opkweek, indien enkel in deze teelt gebruikt volle kost aanrekenen
</t>
        </r>
      </text>
    </comment>
    <comment ref="B131" authorId="0" shapeId="0" xr:uid="{10963562-048B-4F2A-BE3F-0B8AEFBD7E6B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machine 8000 € nieuw afschr. Op 10 j + 80 €/jaar onderhoud. 50 % gebruik voor opkweek</t>
        </r>
      </text>
    </comment>
    <comment ref="A153" authorId="0" shapeId="0" xr:uid="{3B4C7DAF-A92C-41FE-82BE-B0AC092F1F98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zwartstrook naast anti-worteldoek</t>
        </r>
      </text>
    </comment>
    <comment ref="A155" authorId="0" shapeId="0" xr:uid="{FC1ECBE2-8C47-436C-808C-BBEBB7864EB6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prijzen Hermoo, 06/04/21 telefonisch)</t>
        </r>
      </text>
    </comment>
    <comment ref="A167" authorId="0" shapeId="0" xr:uid="{00000000-0006-0000-0200-000018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gegevens proeftuin. 30 min spuiten + 10 min vullen
4 rugsproeiers op 19 rijen van 50 m = 4 sproeiers * 40  min / 19 rijen = 8,42 min/rij = 475 m² (1 m breed behandeld)</t>
        </r>
      </text>
    </comment>
    <comment ref="A168" authorId="0" shapeId="0" xr:uid="{00000000-0006-0000-0200-000019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Birchmeier 20l
</t>
        </r>
      </text>
    </comment>
    <comment ref="A176" authorId="0" shapeId="0" xr:uid="{00000000-0006-0000-0200-00001A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kostprijsberekening Tulameen substraat onder regenkap Koen Viaene, 2016 (F schijf)</t>
        </r>
      </text>
    </comment>
    <comment ref="A177" authorId="0" shapeId="0" xr:uid="{00000000-0006-0000-0200-00001B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landbouwwinkel.nl maaier 1,2 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Kerbusch</author>
  </authors>
  <commentList>
    <comment ref="A93" authorId="0" shapeId="0" xr:uid="{833C8C93-BA12-43BF-9A38-24483CBC2BB4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aantal l/pot delen door beurtgrootte
</t>
        </r>
      </text>
    </comment>
    <comment ref="A94" authorId="0" shapeId="0" xr:uid="{68B07830-254F-450B-A1FE-7D7B4F93D903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er wordt uit gegaan van 5 min. Pomptijd per druppelbeurt</t>
        </r>
      </text>
    </comment>
    <comment ref="A10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iedere waterbron heeft een prijs! Jaarkost/m³ opgeven van water klaar voor gebruik in fertigatie
</t>
        </r>
      </text>
    </comment>
    <comment ref="A11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offerte Maïs. 400 m darm dia 20 mmmet 1600 druppelaars kameleon 2 l, geponst op 25 cm. Incl. kraantje begin + einde leiding</t>
        </r>
      </text>
    </comment>
    <comment ref="A11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Theunissen watertechniek per 1000 stuks kameleon rood
2 l
</t>
        </r>
      </text>
    </comment>
    <comment ref="A11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Vos Kunsstoffen . Er wordt van uit gegaan dat er per ha 100 m aanvoerleiding op het perceel is + 50 m naar unit
</t>
        </r>
      </text>
    </comment>
    <comment ref="A11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extra materiaal (elek kraan, pvc lijm,…) + werkuren installateur voor koppeling unit
</t>
        </r>
      </text>
    </comment>
    <comment ref="A119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prijzen Vos kunstof: T stuk 50 mm 1,33 €/stuk; knie 20 mm 0,63 €/stuk ; slangpilaar 20 mm 0,87 €/stuk</t>
        </r>
      </text>
    </comment>
    <comment ref="A146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Duranet 23/04/20
</t>
        </r>
      </text>
    </comment>
    <comment ref="A147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Duranet 23/04/20</t>
        </r>
      </text>
    </comment>
    <comment ref="C147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aan weerszijden van de rij om de 2 m één klem</t>
        </r>
      </text>
    </comment>
    <comment ref="A245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hier wordt er van uitgegaan dat je de trekker als het ware verhuurt aan een afdeling van je bedrijf dat de planten opkweekt</t>
        </r>
      </text>
    </comment>
    <comment ref="A261" authorId="0" shapeId="0" xr:uid="{022340A5-03A7-44D9-B86A-A832752353E1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prijzen Hermoo, 06/04/21 telefonisch)</t>
        </r>
      </text>
    </comment>
    <comment ref="A301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prijs landbouwwinkel.nl maaier 1,2 m</t>
        </r>
      </text>
    </comment>
    <comment ref="A311" authorId="0" shapeId="0" xr:uid="{68065431-AA58-4DE3-BE21-CDD7672C07AE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Geef jaarkost in (€) (som van jaarkosten alle extra mechanisatie)</t>
        </r>
      </text>
    </comment>
    <comment ref="A312" authorId="0" shapeId="0" xr:uid="{E8A7E782-68F4-4A67-896B-4A98F6222A16}">
      <text>
        <r>
          <rPr>
            <b/>
            <sz val="9"/>
            <color indexed="81"/>
            <rFont val="Tahoma"/>
            <family val="2"/>
          </rPr>
          <t>Alexander Kerbusch:</t>
        </r>
        <r>
          <rPr>
            <sz val="9"/>
            <color indexed="81"/>
            <rFont val="Tahoma"/>
            <family val="2"/>
          </rPr>
          <t xml:space="preserve">
Geef jaarkost in (€)
</t>
        </r>
      </text>
    </comment>
  </commentList>
</comments>
</file>

<file path=xl/sharedStrings.xml><?xml version="1.0" encoding="utf-8"?>
<sst xmlns="http://schemas.openxmlformats.org/spreadsheetml/2006/main" count="560" uniqueCount="349">
  <si>
    <t>Eenheid</t>
  </si>
  <si>
    <t>Potmaat</t>
  </si>
  <si>
    <t>Aantal planten/pot</t>
  </si>
  <si>
    <t>ja</t>
  </si>
  <si>
    <t>Rijafstand</t>
  </si>
  <si>
    <t>potten vullen</t>
  </si>
  <si>
    <t>planten</t>
  </si>
  <si>
    <t>/u</t>
  </si>
  <si>
    <t>planten vast zetten</t>
  </si>
  <si>
    <t>paalafstand</t>
  </si>
  <si>
    <t>insnoeien</t>
  </si>
  <si>
    <t>Gewasbescherming</t>
  </si>
  <si>
    <t>Fertigatie</t>
  </si>
  <si>
    <t>Arbeid/ha</t>
  </si>
  <si>
    <t>Substraat (invoer in watermaat m³)</t>
  </si>
  <si>
    <t>Neen</t>
  </si>
  <si>
    <t>Unit met voldoende capaciteit reeds aanwezig?</t>
  </si>
  <si>
    <t>Koelcelbewaring</t>
  </si>
  <si>
    <t>stuks</t>
  </si>
  <si>
    <t>nietjes max tang bio</t>
  </si>
  <si>
    <t>grondanker (verzinkt 1 m)</t>
  </si>
  <si>
    <t>draadspanner (nr 3 verzinkt)</t>
  </si>
  <si>
    <t>crapal draad 2,2</t>
  </si>
  <si>
    <t>825 m</t>
  </si>
  <si>
    <t>DELAN 70 WG</t>
  </si>
  <si>
    <t>70 % DITHIANON</t>
  </si>
  <si>
    <t>kg / ha haag</t>
  </si>
  <si>
    <t>stengelziekten/twijgsterfte</t>
  </si>
  <si>
    <t>VERTIMEC</t>
  </si>
  <si>
    <t>18 g/l ABAMECTINE</t>
  </si>
  <si>
    <t>l / ha haag</t>
  </si>
  <si>
    <t>spintmijten</t>
  </si>
  <si>
    <t>RAPTOL</t>
  </si>
  <si>
    <t>825.3 g/l KOOLZAADOLIE (INAC), 4.59 g/l PYRETHRINEN</t>
  </si>
  <si>
    <t>CALYPSO</t>
  </si>
  <si>
    <t>480 g/l THIACLOPRID</t>
  </si>
  <si>
    <t>bladluizen</t>
  </si>
  <si>
    <t>KARMA</t>
  </si>
  <si>
    <t>85 % KALIUMWATERSTOFCARBONAAT (FU)</t>
  </si>
  <si>
    <t>echte meeldauw</t>
  </si>
  <si>
    <t>NIMROD 250 EC</t>
  </si>
  <si>
    <t xml:space="preserve">BUPIRIMAAT </t>
  </si>
  <si>
    <t>16/12/2019 18:00</t>
  </si>
  <si>
    <t>29/10/2019 18:00</t>
  </si>
  <si>
    <t>12/10/2019 18:00</t>
  </si>
  <si>
    <t>16/10/2019 18:00</t>
  </si>
  <si>
    <t>27/09/2019 18:00</t>
  </si>
  <si>
    <t>20/09/2019 18:00</t>
  </si>
  <si>
    <t>15/09/2019 18:00</t>
  </si>
  <si>
    <t>07/09/2019 18:00</t>
  </si>
  <si>
    <t>22/08/2019 18:00</t>
  </si>
  <si>
    <t>07/08/2019 18:00</t>
  </si>
  <si>
    <t>30/07/2019 18:00</t>
  </si>
  <si>
    <t>09/07/2019 18:00</t>
  </si>
  <si>
    <t>Prijs/kg of /l</t>
  </si>
  <si>
    <t>Prijs/ha loofwand</t>
  </si>
  <si>
    <t>trekkeruren</t>
  </si>
  <si>
    <t>Totaal</t>
  </si>
  <si>
    <t>aantal potten/m (dubbele rij)</t>
  </si>
  <si>
    <t>arbeid los (totaalprijs/u)</t>
  </si>
  <si>
    <t>prijs/eenheid</t>
  </si>
  <si>
    <t>Stuks/lpm</t>
  </si>
  <si>
    <t>Afschr. (jaar)</t>
  </si>
  <si>
    <t>prijs/lpm/jaar</t>
  </si>
  <si>
    <t>potten uitzetten</t>
  </si>
  <si>
    <t>druppelaars insteken</t>
  </si>
  <si>
    <t>Behandelingen</t>
  </si>
  <si>
    <t>Product</t>
  </si>
  <si>
    <t>Reden</t>
  </si>
  <si>
    <t>Dosis</t>
  </si>
  <si>
    <t>AS</t>
  </si>
  <si>
    <t>Prijs (excl. Btw)</t>
  </si>
  <si>
    <t>Opkweek benodigd materiaal</t>
  </si>
  <si>
    <t>Verbruik/jaar</t>
  </si>
  <si>
    <t>Afschrijfbaar</t>
  </si>
  <si>
    <t>Prijs/eenheid</t>
  </si>
  <si>
    <t>Afschr.</t>
  </si>
  <si>
    <t>loonkoeling Bel ' Orta met contract week 1</t>
  </si>
  <si>
    <t>loonkoeling Bel ' Orta met contract vanaf week 2</t>
  </si>
  <si>
    <t>pot</t>
  </si>
  <si>
    <t>loonwerk rug trekken</t>
  </si>
  <si>
    <t>planten/bewaarkist (10 l)</t>
  </si>
  <si>
    <t>tot 15/07</t>
  </si>
  <si>
    <t>m loofwand</t>
  </si>
  <si>
    <t>na 15/09</t>
  </si>
  <si>
    <t>Data vanaf</t>
  </si>
  <si>
    <t>Tot</t>
  </si>
  <si>
    <t>eerste behandeling</t>
  </si>
  <si>
    <t>Einde teelt</t>
  </si>
  <si>
    <t>l</t>
  </si>
  <si>
    <t xml:space="preserve">Extra </t>
  </si>
  <si>
    <t>verdeelsleutel % uren losse arbeid</t>
  </si>
  <si>
    <t>productprijs/behandeling</t>
  </si>
  <si>
    <t>Prijs/behandeling</t>
  </si>
  <si>
    <t>Totaal product</t>
  </si>
  <si>
    <t>Water</t>
  </si>
  <si>
    <t>Mechanisatie</t>
  </si>
  <si>
    <t>ha</t>
  </si>
  <si>
    <t>100 m</t>
  </si>
  <si>
    <t>Pennen (om anti-worteldoek vast te maken)</t>
  </si>
  <si>
    <t>€/verpakking</t>
  </si>
  <si>
    <t>50 st</t>
  </si>
  <si>
    <t>Invoer algemene gegevens bedrijf</t>
  </si>
  <si>
    <t xml:space="preserve">Rijlengte </t>
  </si>
  <si>
    <t>m</t>
  </si>
  <si>
    <t>aantal draden/rij</t>
  </si>
  <si>
    <t>Cijfers KWIN arbeid los</t>
  </si>
  <si>
    <t>Cijfers KWIN arbeid vast</t>
  </si>
  <si>
    <t>palen (3 m, 8 cm dia creosoot)</t>
  </si>
  <si>
    <t>Arbeidskost teelt cijfers KWIN</t>
  </si>
  <si>
    <t>aantal arbeidsuren plaatsing opkweeksysteem</t>
  </si>
  <si>
    <r>
      <t xml:space="preserve">anti worteldoek </t>
    </r>
    <r>
      <rPr>
        <sz val="9"/>
        <rFont val="Calibri"/>
        <family val="2"/>
        <scheme val="minor"/>
      </rPr>
      <t>(1,05 m breed, 100 m lang)</t>
    </r>
  </si>
  <si>
    <t>stuks/verpakking</t>
  </si>
  <si>
    <t>aantal arbeidsuren plaatsing opkweeksysteem u/ha (cijfers KWIN)</t>
  </si>
  <si>
    <t>Eindtotaal €</t>
  </si>
  <si>
    <t>Prijs/pot €</t>
  </si>
  <si>
    <t xml:space="preserve">Benutting ha opkweekplaats </t>
  </si>
  <si>
    <t>%</t>
  </si>
  <si>
    <t>Gegevens</t>
  </si>
  <si>
    <t>Aantal weken bewaring</t>
  </si>
  <si>
    <t>Prijs/ha</t>
  </si>
  <si>
    <t>Elektriciteit</t>
  </si>
  <si>
    <t>Kwh</t>
  </si>
  <si>
    <t>arbeid/ behandeling/ha in u</t>
  </si>
  <si>
    <t>Arbeidskost</t>
  </si>
  <si>
    <t>vaste arbeid gewasbescherming/behandeling in u</t>
  </si>
  <si>
    <t>aantal u</t>
  </si>
  <si>
    <t>totale arbeidskost/jaar</t>
  </si>
  <si>
    <t>kost in €</t>
  </si>
  <si>
    <t>Aantal trekkeruren/behandeling</t>
  </si>
  <si>
    <t>Totaal aantal uren per jaar</t>
  </si>
  <si>
    <t>Prijs per trekkeruur</t>
  </si>
  <si>
    <t>Brandstof/ behandeling (in l/ha)</t>
  </si>
  <si>
    <t>TOTAALKOST GEWASBESCHERMING</t>
  </si>
  <si>
    <t xml:space="preserve">brandstof trekker </t>
  </si>
  <si>
    <t>Aantal druppelaars/pot</t>
  </si>
  <si>
    <t>Elek verbruik unit (in Kwh)</t>
  </si>
  <si>
    <t>10 rollen/doos</t>
  </si>
  <si>
    <t>draaiuren pomp in Kwh (schatting)</t>
  </si>
  <si>
    <t>Arbeid/ha opzet en opvolging teelt</t>
  </si>
  <si>
    <t>Duurzame materialen opkweekplaats (prijzen Habo 16/4/20)</t>
  </si>
  <si>
    <t>prijs extra druppelaar</t>
  </si>
  <si>
    <t>Onderhoudspercentage</t>
  </si>
  <si>
    <t>Aansluitstukken/rij</t>
  </si>
  <si>
    <t>pvc buis dikwandig, 50 mm (150 m/ha)</t>
  </si>
  <si>
    <t>extra kosten aansluiting (schatting)</t>
  </si>
  <si>
    <t>prijs per druppelaar, geponst</t>
  </si>
  <si>
    <t>Chemische onkruidbeheersing</t>
  </si>
  <si>
    <t>Aantal behandelingen/seizoen</t>
  </si>
  <si>
    <t>Prijs/jaar/pot</t>
  </si>
  <si>
    <t>pvc buis dikwandig, 50 mm (150 m/ha = 3,75 m/teeltrij)</t>
  </si>
  <si>
    <t>Gras maaien</t>
  </si>
  <si>
    <t>Opkweekplaats buiten (gras tussen rijen)</t>
  </si>
  <si>
    <t>% kost toekennen in eerste teelt</t>
  </si>
  <si>
    <t>Restwaarde plant</t>
  </si>
  <si>
    <t xml:space="preserve">Opkweek onder regenkap </t>
  </si>
  <si>
    <t>Substraat</t>
  </si>
  <si>
    <t>Plantmateriaal</t>
  </si>
  <si>
    <t>prijs/plant</t>
  </si>
  <si>
    <t>conversiefactor watermaat / EN m³</t>
  </si>
  <si>
    <t>aantal potten/EN m³</t>
  </si>
  <si>
    <t>Plugplant Kwanza</t>
  </si>
  <si>
    <t>Worden de planten gekoeld?</t>
  </si>
  <si>
    <t>Grond</t>
  </si>
  <si>
    <t>vergoeding eigen arbeid (totaalprijs/u)</t>
  </si>
  <si>
    <t>arbeid los</t>
  </si>
  <si>
    <t>arbeid vast</t>
  </si>
  <si>
    <t>prijs bewaarkist hout</t>
  </si>
  <si>
    <t>onderhoudspercentage</t>
  </si>
  <si>
    <t>aanschafprijs maaier (5 j afschrijving)</t>
  </si>
  <si>
    <t>mini tractor Kubota tweedehands (afschr. 5 j)</t>
  </si>
  <si>
    <t>Jaarkost</t>
  </si>
  <si>
    <t>brandstofverbruik in liter/u</t>
  </si>
  <si>
    <t>Watermix</t>
  </si>
  <si>
    <t>aandeel regenwater voor fertigatie %</t>
  </si>
  <si>
    <t>aandeel grondwater voor fertigatie %</t>
  </si>
  <si>
    <t>aandeel leidingwater voor fertigatie %</t>
  </si>
  <si>
    <t>Kostprijs €/m³</t>
  </si>
  <si>
    <t>kostprijs watermix</t>
  </si>
  <si>
    <t>Kost/m3</t>
  </si>
  <si>
    <t>Prijs/pot fertigatie in €</t>
  </si>
  <si>
    <t>aantal uren maaien/ha/jaar</t>
  </si>
  <si>
    <t>Loonwerk gras zaaien</t>
  </si>
  <si>
    <t>pachtprijs €/ha (fictief of reeël)</t>
  </si>
  <si>
    <t>Kostprijs en verbruik water</t>
  </si>
  <si>
    <t>Hemelwater €/m³</t>
  </si>
  <si>
    <t>Grondwater €/m³</t>
  </si>
  <si>
    <t>Leidingswater €/m³</t>
  </si>
  <si>
    <t>€/m³</t>
  </si>
  <si>
    <t>% in watermix</t>
  </si>
  <si>
    <t>€/plant</t>
  </si>
  <si>
    <t>liter/pot</t>
  </si>
  <si>
    <t>Prijs/kg</t>
  </si>
  <si>
    <t>kostprijs meststoffen (Substrafeed pakket)</t>
  </si>
  <si>
    <t>Macro elementen</t>
  </si>
  <si>
    <t>A-bak</t>
  </si>
  <si>
    <t>Calsal</t>
  </si>
  <si>
    <t>Magnitra</t>
  </si>
  <si>
    <t>Amnitra</t>
  </si>
  <si>
    <t>B-bak</t>
  </si>
  <si>
    <t>Nitrakal</t>
  </si>
  <si>
    <t>Zwakal</t>
  </si>
  <si>
    <t>K50</t>
  </si>
  <si>
    <t>Fosforzuur</t>
  </si>
  <si>
    <t>Micro elementen</t>
  </si>
  <si>
    <t>liter mestst.</t>
  </si>
  <si>
    <t>concentratie A- en B bak</t>
  </si>
  <si>
    <t>Fe</t>
  </si>
  <si>
    <t>Mn</t>
  </si>
  <si>
    <t>Zn</t>
  </si>
  <si>
    <t>B</t>
  </si>
  <si>
    <t xml:space="preserve">Cu </t>
  </si>
  <si>
    <t>Mo</t>
  </si>
  <si>
    <t>Dichtheid (kg/l)</t>
  </si>
  <si>
    <t>Prijs/l</t>
  </si>
  <si>
    <t>100 x</t>
  </si>
  <si>
    <t>Kostprijs mestst. per batch</t>
  </si>
  <si>
    <t>Kostprijs A en B bak</t>
  </si>
  <si>
    <t>Hoeveel water nodig /ha</t>
  </si>
  <si>
    <t>watergift l/pot</t>
  </si>
  <si>
    <t>aantal potten/ha</t>
  </si>
  <si>
    <t>Totale hoeveelheid water nodig per seizoen/ha (m³)</t>
  </si>
  <si>
    <t>(=per 100 m³ fertigatie één a en b bak)</t>
  </si>
  <si>
    <t>aantal batchen (= a en b bakken)</t>
  </si>
  <si>
    <t>% watermix</t>
  </si>
  <si>
    <t>Gift l/pot/seizoen</t>
  </si>
  <si>
    <t>l/druppelbeurt/druppelaar</t>
  </si>
  <si>
    <t>aantal druppelbeurten/jaar</t>
  </si>
  <si>
    <t>Elektriciteitsverbruik/jaar</t>
  </si>
  <si>
    <t>Elek kost</t>
  </si>
  <si>
    <t>Totale kost</t>
  </si>
  <si>
    <t>elektriciteitskost druppelen</t>
  </si>
  <si>
    <t xml:space="preserve">Totaalkost water voor 1 ha </t>
  </si>
  <si>
    <t>kost voor 1 m³ watermix</t>
  </si>
  <si>
    <t>Prijs/pot meststoffen in €</t>
  </si>
  <si>
    <t>water prijs</t>
  </si>
  <si>
    <t>meststoffen</t>
  </si>
  <si>
    <t>aantal m³ nodig</t>
  </si>
  <si>
    <t>Berekening loofwandoppervlakte</t>
  </si>
  <si>
    <t>750 l/ha haag</t>
  </si>
  <si>
    <t>brandstofverbruik in liter/ werkuur</t>
  </si>
  <si>
    <t>opvolging gewas (vaste arbeid) in u/ha</t>
  </si>
  <si>
    <t>afschrijvingsduur bewaarkist (jaar)</t>
  </si>
  <si>
    <t>brandstof per seizoen</t>
  </si>
  <si>
    <t>arbeidsuren vaste arbeid (uurprijs)</t>
  </si>
  <si>
    <t>Totaal/ha/seizoen</t>
  </si>
  <si>
    <t>verbruik brandstof (€)</t>
  </si>
  <si>
    <t>kost regenwater €/m³</t>
  </si>
  <si>
    <t>n behandelingen</t>
  </si>
  <si>
    <t>aantal ha haag per ha grondopp.</t>
  </si>
  <si>
    <t>verbruik water</t>
  </si>
  <si>
    <t>watervolume gemiddeld over seizoen m³/ha haag</t>
  </si>
  <si>
    <t>totaalkost water</t>
  </si>
  <si>
    <r>
      <t>voorlichtingskost (% totale voorlichting op je bedrijf toekennen aan opkwee</t>
    </r>
    <r>
      <rPr>
        <sz val="1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)</t>
    </r>
  </si>
  <si>
    <t>voorlichtingskost bedrijf (netto eigen aandeel in €)</t>
  </si>
  <si>
    <t>behandeling najaar</t>
  </si>
  <si>
    <t>behandeling voorjaar</t>
  </si>
  <si>
    <t>behandeling zomer</t>
  </si>
  <si>
    <t>stomp aqua</t>
  </si>
  <si>
    <t>kerb 400 SC</t>
  </si>
  <si>
    <t>Prijs/ 20 l</t>
  </si>
  <si>
    <t>Gozai</t>
  </si>
  <si>
    <t>opvolging gewas vaste arbeid</t>
  </si>
  <si>
    <t>Cijfers KWIN (in u/ha)</t>
  </si>
  <si>
    <t>kost trekker/uur</t>
  </si>
  <si>
    <t>Kost overkapping</t>
  </si>
  <si>
    <t>Overkapping aanwezig</t>
  </si>
  <si>
    <t>Meststof</t>
  </si>
  <si>
    <t xml:space="preserve">jaarkost </t>
  </si>
  <si>
    <t>Machine Lochmann</t>
  </si>
  <si>
    <t>Kost aanleg opkweekplaats (duurzame middelen)</t>
  </si>
  <si>
    <t>Extra</t>
  </si>
  <si>
    <t>Arbeidsuren vast per rij van 50 m (in minuten)</t>
  </si>
  <si>
    <t>Prijs rugsproeier (afschr. 5 jaar)</t>
  </si>
  <si>
    <t>watervolume</t>
  </si>
  <si>
    <t>spuitmachine jaarkost</t>
  </si>
  <si>
    <t>kost mechanisatie voor gewasbescherming (in €)</t>
  </si>
  <si>
    <t>Stuks/pot</t>
  </si>
  <si>
    <t>max tang ( groen model) 4 tangen/ha</t>
  </si>
  <si>
    <t>prijs/pot/jaar</t>
  </si>
  <si>
    <t>lint max tang bio bruin (13 mm)</t>
  </si>
  <si>
    <t>kleinfruitclipsen rema allzwecker</t>
  </si>
  <si>
    <t>Subtotaal</t>
  </si>
  <si>
    <t>bamboe (213, 16/18)</t>
  </si>
  <si>
    <t>prijs/verpakking</t>
  </si>
  <si>
    <t>Stuks/verpakking</t>
  </si>
  <si>
    <t>jaarkost bewaarkist hout</t>
  </si>
  <si>
    <t>Kost/pot</t>
  </si>
  <si>
    <t>Kost/kist</t>
  </si>
  <si>
    <t>transport naar en van koeling (per rit)</t>
  </si>
  <si>
    <t>varia (oa stretchfolie, etiket,...)</t>
  </si>
  <si>
    <t>loonkoeling Bel' Orta rest bewaarduur</t>
  </si>
  <si>
    <t>inpakuren arbeid kist</t>
  </si>
  <si>
    <t>inpakkosten per kist losse arbeid</t>
  </si>
  <si>
    <t>inpakkosten per kist vaste arbeid</t>
  </si>
  <si>
    <t>(fictieve) pacht/ha</t>
  </si>
  <si>
    <t>Aantal rijen</t>
  </si>
  <si>
    <t>Kostenpost</t>
  </si>
  <si>
    <t>kost/pot</t>
  </si>
  <si>
    <t>Arbeidskost teelt</t>
  </si>
  <si>
    <t>Duurzame middelen opkweekplaats</t>
  </si>
  <si>
    <t>Teeltbenodigheden</t>
  </si>
  <si>
    <t>Pacht grond</t>
  </si>
  <si>
    <t>Onkruidbestrijding</t>
  </si>
  <si>
    <t>neen</t>
  </si>
  <si>
    <t>Totaal €/pot</t>
  </si>
  <si>
    <t>Kostprijs Long cane Herfstframboos</t>
  </si>
  <si>
    <t>(ja of neen invullen)</t>
  </si>
  <si>
    <t>transport = kisten/rit</t>
  </si>
  <si>
    <t>Fertigatie (installatie)</t>
  </si>
  <si>
    <t>Fertigatie (meststoffen en water)</t>
  </si>
  <si>
    <t xml:space="preserve">Extra mechanisatie aanwezig (bijv. inpotmachine, jaarkost in € ingeven) </t>
  </si>
  <si>
    <t>Optionele verzekeringen (jaarkost in € ingeven)</t>
  </si>
  <si>
    <t>voorlichtingskost (% totale voorlichting bedrijf)</t>
  </si>
  <si>
    <t xml:space="preserve">Extra mechanisatie aanwezig ( jaarkost in € ingeven) </t>
  </si>
  <si>
    <t>Kostprijs overkapping</t>
  </si>
  <si>
    <t>jaarkost overkapping (incl. onderhoud)</t>
  </si>
  <si>
    <t>prijs/€ m²/jaar (incl. onderhoud)</t>
  </si>
  <si>
    <t>Aantal potten op bedrijf/ha (berekening volgens ingevoerde gegevens)</t>
  </si>
  <si>
    <t>potten/rij</t>
  </si>
  <si>
    <t>Dashboard</t>
  </si>
  <si>
    <t>Totaal/ha</t>
  </si>
  <si>
    <t>Subtotaal voor uw bedrijf</t>
  </si>
  <si>
    <t>Dosis (l/ha)</t>
  </si>
  <si>
    <t>Subtotaal productprijs/ha</t>
  </si>
  <si>
    <t>arbeid spuiten met rugsproeier in u/seizoen/jaar</t>
  </si>
  <si>
    <r>
      <t xml:space="preserve">Totaal/ha/seizoen </t>
    </r>
    <r>
      <rPr>
        <sz val="11"/>
        <color theme="1"/>
        <rFont val="Calibri"/>
        <family val="2"/>
        <scheme val="minor"/>
      </rPr>
      <t>(uurloon vaste arbeid)</t>
    </r>
  </si>
  <si>
    <t>jaarkost rugsproeier</t>
  </si>
  <si>
    <t>Productkost</t>
  </si>
  <si>
    <t>Arbeid onkruidbeheersing</t>
  </si>
  <si>
    <t>Rugsproeier (of machinekost)</t>
  </si>
  <si>
    <t>Totaal onkruidbeheersing</t>
  </si>
  <si>
    <t xml:space="preserve">Totaal/ha/seizoen </t>
  </si>
  <si>
    <t>Extra kosten</t>
  </si>
  <si>
    <t>Extra kosten indien geen unit aanwezig</t>
  </si>
  <si>
    <t>Totaalkosten installatie fertigatie</t>
  </si>
  <si>
    <t>Indien niet, jaarkost toebedeeld aan opkweek hier vermelden</t>
  </si>
  <si>
    <t>Totale kost fertigatie (mesttstoffen en water)</t>
  </si>
  <si>
    <t>prijs/m³</t>
  </si>
  <si>
    <t>Afschrijfbare kosten</t>
  </si>
  <si>
    <t>Overkapping</t>
  </si>
  <si>
    <t>Subtotaal €/jaar</t>
  </si>
  <si>
    <t>prijs per druppelaar, geponst (incl. druppeldarm)</t>
  </si>
  <si>
    <t>prijs extra druppelaar (excl.druppeldarm)</t>
  </si>
  <si>
    <t>totale meststoffenprijs/ha/jaar</t>
  </si>
  <si>
    <t>Kostprijsberekening Long Cane (Herfstframboos)</t>
  </si>
  <si>
    <t>/</t>
  </si>
  <si>
    <t>Graszaad (20 kg/ha)</t>
  </si>
  <si>
    <t>Suggesties of vragen ivm deze kostprijsberekening? U kan steeds contact opnemen met alexander.kerbusch@pcfruit.be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</si>
</sst>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00"/>
    <numFmt numFmtId="165" formatCode="0.0"/>
    <numFmt numFmtId="166" formatCode="_-* #,##0.0000\ &quot;€&quot;_-;\-* #,##0.0000\ &quot;€&quot;_-;_-* &quot;-&quot;????\ &quot;€&quot;_-;_-@_-"/>
    <numFmt numFmtId="167" formatCode="0.0000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2">
    <xf numFmtId="0" fontId="0" fillId="0" borderId="0"/>
    <xf numFmtId="0" fontId="19" fillId="0" borderId="0"/>
  </cellStyleXfs>
  <cellXfs count="180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0" fontId="4" fillId="3" borderId="0" xfId="0" applyFont="1" applyFill="1"/>
    <xf numFmtId="0" fontId="7" fillId="3" borderId="0" xfId="0" applyFont="1" applyFill="1"/>
    <xf numFmtId="0" fontId="2" fillId="3" borderId="1" xfId="0" applyFont="1" applyFill="1" applyBorder="1"/>
    <xf numFmtId="0" fontId="0" fillId="3" borderId="1" xfId="0" applyFill="1" applyBorder="1"/>
    <xf numFmtId="0" fontId="7" fillId="3" borderId="1" xfId="0" applyFont="1" applyFill="1" applyBorder="1"/>
    <xf numFmtId="0" fontId="0" fillId="3" borderId="2" xfId="0" applyFill="1" applyBorder="1"/>
    <xf numFmtId="0" fontId="0" fillId="3" borderId="0" xfId="0" applyFill="1" applyBorder="1"/>
    <xf numFmtId="0" fontId="0" fillId="3" borderId="1" xfId="0" applyFont="1" applyFill="1" applyBorder="1"/>
    <xf numFmtId="0" fontId="4" fillId="3" borderId="1" xfId="0" applyFont="1" applyFill="1" applyBorder="1"/>
    <xf numFmtId="0" fontId="0" fillId="3" borderId="1" xfId="0" applyFill="1" applyBorder="1" applyAlignment="1">
      <alignment vertical="top" wrapText="1"/>
    </xf>
    <xf numFmtId="164" fontId="0" fillId="3" borderId="1" xfId="0" applyNumberFormat="1" applyFill="1" applyBorder="1" applyAlignment="1">
      <alignment vertical="top" wrapText="1"/>
    </xf>
    <xf numFmtId="0" fontId="4" fillId="0" borderId="0" xfId="0" applyFont="1"/>
    <xf numFmtId="0" fontId="0" fillId="2" borderId="0" xfId="0" applyFont="1" applyFill="1"/>
    <xf numFmtId="0" fontId="9" fillId="3" borderId="0" xfId="0" applyFont="1" applyFill="1" applyBorder="1"/>
    <xf numFmtId="0" fontId="10" fillId="3" borderId="1" xfId="0" applyFont="1" applyFill="1" applyBorder="1"/>
    <xf numFmtId="0" fontId="4" fillId="4" borderId="1" xfId="0" applyFont="1" applyFill="1" applyBorder="1"/>
    <xf numFmtId="0" fontId="0" fillId="4" borderId="1" xfId="0" applyFill="1" applyBorder="1" applyAlignment="1">
      <alignment vertical="top" wrapText="1"/>
    </xf>
    <xf numFmtId="164" fontId="0" fillId="4" borderId="1" xfId="0" applyNumberFormat="1" applyFill="1" applyBorder="1" applyAlignment="1">
      <alignment vertical="top" wrapText="1"/>
    </xf>
    <xf numFmtId="0" fontId="0" fillId="4" borderId="1" xfId="0" applyFill="1" applyBorder="1"/>
    <xf numFmtId="0" fontId="0" fillId="4" borderId="0" xfId="0" applyFill="1"/>
    <xf numFmtId="0" fontId="4" fillId="0" borderId="1" xfId="0" applyFont="1" applyBorder="1"/>
    <xf numFmtId="0" fontId="0" fillId="0" borderId="1" xfId="0" applyBorder="1"/>
    <xf numFmtId="0" fontId="11" fillId="4" borderId="0" xfId="0" applyFont="1" applyFill="1"/>
    <xf numFmtId="0" fontId="12" fillId="0" borderId="0" xfId="0" applyFont="1"/>
    <xf numFmtId="0" fontId="13" fillId="0" borderId="0" xfId="0" applyFont="1"/>
    <xf numFmtId="0" fontId="13" fillId="4" borderId="0" xfId="0" applyFont="1" applyFill="1" applyBorder="1" applyAlignment="1">
      <alignment vertical="top" wrapText="1"/>
    </xf>
    <xf numFmtId="0" fontId="14" fillId="3" borderId="0" xfId="0" applyFont="1" applyFill="1"/>
    <xf numFmtId="0" fontId="7" fillId="3" borderId="0" xfId="0" applyFont="1" applyFill="1" applyBorder="1"/>
    <xf numFmtId="0" fontId="11" fillId="2" borderId="0" xfId="0" applyFont="1" applyFill="1"/>
    <xf numFmtId="9" fontId="0" fillId="3" borderId="0" xfId="0" applyNumberFormat="1" applyFill="1"/>
    <xf numFmtId="0" fontId="14" fillId="0" borderId="0" xfId="0" applyFont="1"/>
    <xf numFmtId="0" fontId="2" fillId="4" borderId="1" xfId="0" applyFont="1" applyFill="1" applyBorder="1"/>
    <xf numFmtId="0" fontId="10" fillId="4" borderId="1" xfId="0" applyFont="1" applyFill="1" applyBorder="1"/>
    <xf numFmtId="0" fontId="0" fillId="3" borderId="7" xfId="0" applyFill="1" applyBorder="1"/>
    <xf numFmtId="0" fontId="4" fillId="4" borderId="0" xfId="0" applyFont="1" applyFill="1"/>
    <xf numFmtId="0" fontId="0" fillId="4" borderId="1" xfId="0" applyFont="1" applyFill="1" applyBorder="1"/>
    <xf numFmtId="0" fontId="9" fillId="4" borderId="0" xfId="0" applyFont="1" applyFill="1"/>
    <xf numFmtId="0" fontId="4" fillId="5" borderId="0" xfId="0" applyFont="1" applyFill="1"/>
    <xf numFmtId="0" fontId="3" fillId="3" borderId="0" xfId="0" applyFont="1" applyFill="1"/>
    <xf numFmtId="0" fontId="4" fillId="3" borderId="0" xfId="0" applyFont="1" applyFill="1" applyBorder="1"/>
    <xf numFmtId="0" fontId="13" fillId="0" borderId="1" xfId="0" applyFont="1" applyBorder="1"/>
    <xf numFmtId="0" fontId="0" fillId="0" borderId="1" xfId="0" applyFont="1" applyBorder="1"/>
    <xf numFmtId="0" fontId="2" fillId="0" borderId="1" xfId="0" applyFont="1" applyBorder="1"/>
    <xf numFmtId="0" fontId="7" fillId="0" borderId="1" xfId="0" applyFont="1" applyBorder="1"/>
    <xf numFmtId="16" fontId="0" fillId="0" borderId="1" xfId="0" applyNumberFormat="1" applyBorder="1"/>
    <xf numFmtId="0" fontId="2" fillId="0" borderId="0" xfId="0" applyFont="1"/>
    <xf numFmtId="0" fontId="1" fillId="0" borderId="0" xfId="0" applyFont="1"/>
    <xf numFmtId="0" fontId="3" fillId="2" borderId="0" xfId="0" applyFont="1" applyFill="1"/>
    <xf numFmtId="9" fontId="0" fillId="3" borderId="0" xfId="0" applyNumberFormat="1" applyFill="1" applyBorder="1"/>
    <xf numFmtId="0" fontId="16" fillId="3" borderId="0" xfId="0" applyFont="1" applyFill="1"/>
    <xf numFmtId="0" fontId="14" fillId="0" borderId="0" xfId="0" applyFont="1" applyFill="1"/>
    <xf numFmtId="0" fontId="0" fillId="0" borderId="0" xfId="0" applyFill="1"/>
    <xf numFmtId="0" fontId="16" fillId="0" borderId="0" xfId="0" applyFont="1" applyFill="1"/>
    <xf numFmtId="0" fontId="10" fillId="0" borderId="0" xfId="0" applyFont="1" applyFill="1"/>
    <xf numFmtId="0" fontId="17" fillId="0" borderId="0" xfId="0" applyFont="1" applyFill="1" applyBorder="1"/>
    <xf numFmtId="0" fontId="10" fillId="0" borderId="2" xfId="0" applyFont="1" applyFill="1" applyBorder="1"/>
    <xf numFmtId="0" fontId="10" fillId="0" borderId="1" xfId="0" applyFont="1" applyFill="1" applyBorder="1"/>
    <xf numFmtId="0" fontId="10" fillId="0" borderId="0" xfId="0" applyFont="1" applyFill="1" applyBorder="1"/>
    <xf numFmtId="0" fontId="18" fillId="0" borderId="0" xfId="0" applyFont="1" applyFill="1"/>
    <xf numFmtId="0" fontId="17" fillId="0" borderId="0" xfId="0" applyFont="1" applyFill="1"/>
    <xf numFmtId="9" fontId="10" fillId="0" borderId="0" xfId="0" applyNumberFormat="1" applyFont="1" applyFill="1" applyBorder="1"/>
    <xf numFmtId="0" fontId="4" fillId="0" borderId="0" xfId="0" applyFont="1" applyFill="1"/>
    <xf numFmtId="0" fontId="0" fillId="0" borderId="0" xfId="0" applyFont="1" applyFill="1"/>
    <xf numFmtId="0" fontId="10" fillId="2" borderId="0" xfId="0" applyFont="1" applyFill="1"/>
    <xf numFmtId="0" fontId="17" fillId="3" borderId="0" xfId="0" applyFont="1" applyFill="1"/>
    <xf numFmtId="0" fontId="7" fillId="3" borderId="6" xfId="0" applyFont="1" applyFill="1" applyBorder="1"/>
    <xf numFmtId="9" fontId="0" fillId="3" borderId="1" xfId="0" applyNumberFormat="1" applyFill="1" applyBorder="1"/>
    <xf numFmtId="0" fontId="2" fillId="3" borderId="0" xfId="0" applyFont="1" applyFill="1" applyBorder="1"/>
    <xf numFmtId="0" fontId="10" fillId="3" borderId="0" xfId="0" applyFont="1" applyFill="1" applyBorder="1"/>
    <xf numFmtId="9" fontId="0" fillId="4" borderId="1" xfId="0" applyNumberFormat="1" applyFill="1" applyBorder="1"/>
    <xf numFmtId="0" fontId="2" fillId="0" borderId="1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2" xfId="0" applyFont="1" applyBorder="1"/>
    <xf numFmtId="0" fontId="2" fillId="0" borderId="12" xfId="0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0" xfId="0" applyBorder="1"/>
    <xf numFmtId="0" fontId="0" fillId="0" borderId="2" xfId="0" applyBorder="1"/>
    <xf numFmtId="2" fontId="0" fillId="0" borderId="2" xfId="0" applyNumberFormat="1" applyBorder="1"/>
    <xf numFmtId="2" fontId="0" fillId="0" borderId="0" xfId="0" applyNumberFormat="1"/>
    <xf numFmtId="44" fontId="0" fillId="0" borderId="0" xfId="0" applyNumberFormat="1"/>
    <xf numFmtId="44" fontId="10" fillId="0" borderId="0" xfId="0" applyNumberFormat="1" applyFont="1" applyFill="1" applyBorder="1"/>
    <xf numFmtId="166" fontId="10" fillId="0" borderId="0" xfId="0" applyNumberFormat="1" applyFont="1" applyFill="1" applyBorder="1"/>
    <xf numFmtId="166" fontId="10" fillId="0" borderId="2" xfId="0" applyNumberFormat="1" applyFont="1" applyFill="1" applyBorder="1"/>
    <xf numFmtId="166" fontId="10" fillId="0" borderId="0" xfId="0" applyNumberFormat="1" applyFont="1" applyFill="1"/>
    <xf numFmtId="44" fontId="10" fillId="0" borderId="1" xfId="0" applyNumberFormat="1" applyFont="1" applyFill="1" applyBorder="1"/>
    <xf numFmtId="10" fontId="0" fillId="4" borderId="1" xfId="0" applyNumberFormat="1" applyFill="1" applyBorder="1"/>
    <xf numFmtId="166" fontId="2" fillId="0" borderId="0" xfId="0" applyNumberFormat="1" applyFont="1"/>
    <xf numFmtId="44" fontId="0" fillId="3" borderId="0" xfId="0" applyNumberFormat="1" applyFill="1"/>
    <xf numFmtId="0" fontId="0" fillId="0" borderId="0" xfId="0" applyFont="1"/>
    <xf numFmtId="0" fontId="10" fillId="0" borderId="0" xfId="0" applyFont="1"/>
    <xf numFmtId="166" fontId="16" fillId="0" borderId="0" xfId="0" applyNumberFormat="1" applyFont="1" applyFill="1" applyBorder="1"/>
    <xf numFmtId="0" fontId="0" fillId="3" borderId="0" xfId="0" applyNumberFormat="1" applyFill="1"/>
    <xf numFmtId="44" fontId="0" fillId="4" borderId="1" xfId="0" applyNumberFormat="1" applyFill="1" applyBorder="1"/>
    <xf numFmtId="0" fontId="1" fillId="3" borderId="0" xfId="0" applyFont="1" applyFill="1" applyBorder="1"/>
    <xf numFmtId="0" fontId="0" fillId="3" borderId="0" xfId="0" applyFont="1" applyFill="1"/>
    <xf numFmtId="44" fontId="2" fillId="0" borderId="0" xfId="0" applyNumberFormat="1" applyFont="1"/>
    <xf numFmtId="166" fontId="0" fillId="3" borderId="1" xfId="0" applyNumberFormat="1" applyFill="1" applyBorder="1"/>
    <xf numFmtId="167" fontId="0" fillId="3" borderId="1" xfId="0" applyNumberFormat="1" applyFill="1" applyBorder="1"/>
    <xf numFmtId="44" fontId="0" fillId="3" borderId="1" xfId="0" applyNumberFormat="1" applyFill="1" applyBorder="1"/>
    <xf numFmtId="44" fontId="10" fillId="0" borderId="0" xfId="0" applyNumberFormat="1" applyFont="1" applyFill="1"/>
    <xf numFmtId="44" fontId="0" fillId="0" borderId="1" xfId="0" applyNumberFormat="1" applyBorder="1"/>
    <xf numFmtId="44" fontId="0" fillId="6" borderId="0" xfId="0" applyNumberFormat="1" applyFill="1"/>
    <xf numFmtId="166" fontId="16" fillId="0" borderId="0" xfId="0" applyNumberFormat="1" applyFont="1" applyFill="1"/>
    <xf numFmtId="166" fontId="2" fillId="4" borderId="4" xfId="0" applyNumberFormat="1" applyFont="1" applyFill="1" applyBorder="1"/>
    <xf numFmtId="0" fontId="20" fillId="3" borderId="0" xfId="0" applyFont="1" applyFill="1" applyBorder="1"/>
    <xf numFmtId="0" fontId="21" fillId="3" borderId="0" xfId="0" applyFont="1" applyFill="1" applyBorder="1"/>
    <xf numFmtId="0" fontId="0" fillId="3" borderId="16" xfId="0" applyFill="1" applyBorder="1"/>
    <xf numFmtId="166" fontId="2" fillId="0" borderId="0" xfId="0" applyNumberFormat="1" applyFont="1" applyBorder="1"/>
    <xf numFmtId="166" fontId="0" fillId="0" borderId="1" xfId="0" applyNumberFormat="1" applyBorder="1"/>
    <xf numFmtId="0" fontId="2" fillId="7" borderId="0" xfId="0" applyFont="1" applyFill="1"/>
    <xf numFmtId="44" fontId="2" fillId="3" borderId="0" xfId="0" applyNumberFormat="1" applyFont="1" applyFill="1"/>
    <xf numFmtId="0" fontId="7" fillId="2" borderId="0" xfId="0" applyFont="1" applyFill="1"/>
    <xf numFmtId="0" fontId="2" fillId="6" borderId="0" xfId="0" applyFont="1" applyFill="1"/>
    <xf numFmtId="0" fontId="4" fillId="8" borderId="1" xfId="0" applyFont="1" applyFill="1" applyBorder="1"/>
    <xf numFmtId="0" fontId="9" fillId="8" borderId="1" xfId="0" applyFont="1" applyFill="1" applyBorder="1"/>
    <xf numFmtId="0" fontId="4" fillId="8" borderId="1" xfId="0" applyFont="1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0" fontId="10" fillId="8" borderId="1" xfId="0" applyFont="1" applyFill="1" applyBorder="1"/>
    <xf numFmtId="0" fontId="0" fillId="8" borderId="1" xfId="0" applyFill="1" applyBorder="1"/>
    <xf numFmtId="44" fontId="2" fillId="4" borderId="0" xfId="0" applyNumberFormat="1" applyFont="1" applyFill="1"/>
    <xf numFmtId="0" fontId="7" fillId="0" borderId="0" xfId="0" applyFont="1"/>
    <xf numFmtId="166" fontId="10" fillId="0" borderId="1" xfId="0" applyNumberFormat="1" applyFont="1" applyFill="1" applyBorder="1"/>
    <xf numFmtId="0" fontId="9" fillId="0" borderId="0" xfId="0" applyFont="1" applyFill="1"/>
    <xf numFmtId="0" fontId="16" fillId="0" borderId="0" xfId="0" applyFont="1" applyFill="1" applyBorder="1"/>
    <xf numFmtId="0" fontId="4" fillId="0" borderId="5" xfId="0" applyFont="1" applyBorder="1"/>
    <xf numFmtId="0" fontId="9" fillId="0" borderId="5" xfId="0" applyFont="1" applyFill="1" applyBorder="1"/>
    <xf numFmtId="44" fontId="2" fillId="0" borderId="0" xfId="0" applyNumberFormat="1" applyFont="1" applyBorder="1"/>
    <xf numFmtId="167" fontId="0" fillId="0" borderId="1" xfId="0" applyNumberFormat="1" applyBorder="1"/>
    <xf numFmtId="166" fontId="0" fillId="4" borderId="1" xfId="0" applyNumberFormat="1" applyFill="1" applyBorder="1"/>
    <xf numFmtId="166" fontId="10" fillId="4" borderId="1" xfId="0" applyNumberFormat="1" applyFont="1" applyFill="1" applyBorder="1"/>
    <xf numFmtId="20" fontId="0" fillId="3" borderId="1" xfId="0" applyNumberFormat="1" applyFill="1" applyBorder="1"/>
    <xf numFmtId="0" fontId="17" fillId="3" borderId="1" xfId="0" applyFont="1" applyFill="1" applyBorder="1"/>
    <xf numFmtId="0" fontId="8" fillId="9" borderId="0" xfId="0" applyFont="1" applyFill="1"/>
    <xf numFmtId="0" fontId="0" fillId="9" borderId="0" xfId="0" applyFill="1"/>
    <xf numFmtId="0" fontId="22" fillId="9" borderId="0" xfId="0" applyFont="1" applyFill="1"/>
    <xf numFmtId="44" fontId="8" fillId="9" borderId="0" xfId="0" applyNumberFormat="1" applyFont="1" applyFill="1"/>
    <xf numFmtId="0" fontId="23" fillId="9" borderId="0" xfId="0" applyFont="1" applyFill="1"/>
    <xf numFmtId="0" fontId="24" fillId="9" borderId="1" xfId="0" applyFont="1" applyFill="1" applyBorder="1"/>
    <xf numFmtId="0" fontId="12" fillId="9" borderId="0" xfId="0" applyFont="1" applyFill="1"/>
    <xf numFmtId="0" fontId="26" fillId="9" borderId="0" xfId="0" applyFont="1" applyFill="1"/>
    <xf numFmtId="44" fontId="26" fillId="9" borderId="0" xfId="0" applyNumberFormat="1" applyFont="1" applyFill="1"/>
    <xf numFmtId="44" fontId="24" fillId="9" borderId="1" xfId="0" applyNumberFormat="1" applyFont="1" applyFill="1" applyBorder="1"/>
    <xf numFmtId="44" fontId="25" fillId="9" borderId="1" xfId="0" applyNumberFormat="1" applyFont="1" applyFill="1" applyBorder="1"/>
    <xf numFmtId="0" fontId="8" fillId="4" borderId="6" xfId="0" applyFont="1" applyFill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2" xfId="0" applyBorder="1" applyAlignment="1"/>
    <xf numFmtId="0" fontId="0" fillId="0" borderId="12" xfId="0" applyBorder="1" applyAlignment="1"/>
    <xf numFmtId="0" fontId="0" fillId="3" borderId="3" xfId="0" applyFill="1" applyBorder="1" applyAlignment="1"/>
    <xf numFmtId="0" fontId="0" fillId="0" borderId="4" xfId="0" applyBorder="1" applyAlignment="1"/>
    <xf numFmtId="0" fontId="0" fillId="0" borderId="5" xfId="0" applyBorder="1" applyAlignment="1"/>
    <xf numFmtId="44" fontId="0" fillId="4" borderId="1" xfId="0" applyNumberFormat="1" applyFill="1" applyBorder="1" applyAlignment="1"/>
    <xf numFmtId="44" fontId="0" fillId="4" borderId="3" xfId="0" applyNumberFormat="1" applyFill="1" applyBorder="1" applyAlignment="1"/>
    <xf numFmtId="0" fontId="7" fillId="4" borderId="3" xfId="0" applyFont="1" applyFill="1" applyBorder="1" applyAlignment="1"/>
    <xf numFmtId="0" fontId="7" fillId="0" borderId="5" xfId="0" applyFont="1" applyBorder="1" applyAlignment="1"/>
    <xf numFmtId="0" fontId="2" fillId="4" borderId="3" xfId="0" applyFont="1" applyFill="1" applyBorder="1" applyAlignment="1"/>
    <xf numFmtId="0" fontId="2" fillId="0" borderId="5" xfId="0" applyFont="1" applyBorder="1" applyAlignment="1"/>
    <xf numFmtId="0" fontId="23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Kostprijs Long cane herfstframboos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5D4-4A79-87CD-F83982D46E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5D4-4A79-87CD-F83982D46E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5D4-4A79-87CD-F83982D46E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5D4-4A79-87CD-F83982D46E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5D4-4A79-87CD-F83982D46E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5D4-4A79-87CD-F83982D46EF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5D4-4A79-87CD-F83982D46EF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5D4-4A79-87CD-F83982D46EF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5D4-4A79-87CD-F83982D46EF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5D4-4A79-87CD-F83982D46EF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B5D4-4A79-87CD-F83982D46EF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B5D4-4A79-87CD-F83982D46EF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DDFD-4A9C-AB70-50897CC4CE5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BF5-4E08-B0E2-3AC3C52E99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'simulatie HFB'!$B$6:$B$19</c:f>
              <c:strCache>
                <c:ptCount val="14"/>
                <c:pt idx="0">
                  <c:v>Arbeidskost teelt</c:v>
                </c:pt>
                <c:pt idx="1">
                  <c:v>Substraat</c:v>
                </c:pt>
                <c:pt idx="2">
                  <c:v>Plantmateriaal</c:v>
                </c:pt>
                <c:pt idx="3">
                  <c:v>Fertigatie (meststoffen en water)</c:v>
                </c:pt>
                <c:pt idx="4">
                  <c:v>Fertigatie (installatie)</c:v>
                </c:pt>
                <c:pt idx="5">
                  <c:v>Overkapping</c:v>
                </c:pt>
                <c:pt idx="6">
                  <c:v>Duurzame middelen opkweekplaats</c:v>
                </c:pt>
                <c:pt idx="7">
                  <c:v>Teeltbenodigheden</c:v>
                </c:pt>
                <c:pt idx="8">
                  <c:v>Koelcelbewaring</c:v>
                </c:pt>
                <c:pt idx="9">
                  <c:v>Pacht grond</c:v>
                </c:pt>
                <c:pt idx="10">
                  <c:v>Gewasbescherming</c:v>
                </c:pt>
                <c:pt idx="11">
                  <c:v>Onkruidbestrijding</c:v>
                </c:pt>
                <c:pt idx="12">
                  <c:v>Gras maaien</c:v>
                </c:pt>
                <c:pt idx="13">
                  <c:v>Extra kosten</c:v>
                </c:pt>
              </c:strCache>
            </c:strRef>
          </c:cat>
          <c:val>
            <c:numRef>
              <c:f>'simulatie HFB'!$C$6:$C$19</c:f>
              <c:numCache>
                <c:formatCode>_("€"* #,##0.00_);_("€"* \(#,##0.00\);_("€"* "-"??_);_(@_)</c:formatCode>
                <c:ptCount val="14"/>
                <c:pt idx="0">
                  <c:v>0.19409687822497423</c:v>
                </c:pt>
                <c:pt idx="1">
                  <c:v>0.81044444444444441</c:v>
                </c:pt>
                <c:pt idx="2">
                  <c:v>1.9</c:v>
                </c:pt>
                <c:pt idx="3">
                  <c:v>0.28400940603728309</c:v>
                </c:pt>
                <c:pt idx="4">
                  <c:v>0.28721108451275246</c:v>
                </c:pt>
                <c:pt idx="5">
                  <c:v>0</c:v>
                </c:pt>
                <c:pt idx="6">
                  <c:v>0.10660662772684833</c:v>
                </c:pt>
                <c:pt idx="7">
                  <c:v>0.16653002593247823</c:v>
                </c:pt>
                <c:pt idx="8">
                  <c:v>1.0409944444444443</c:v>
                </c:pt>
                <c:pt idx="9">
                  <c:v>1.842842400117942E-2</c:v>
                </c:pt>
                <c:pt idx="10">
                  <c:v>6.6695110939112484E-2</c:v>
                </c:pt>
                <c:pt idx="11">
                  <c:v>3.2405956066637175E-2</c:v>
                </c:pt>
                <c:pt idx="12">
                  <c:v>9.4406973315642045E-2</c:v>
                </c:pt>
                <c:pt idx="13">
                  <c:v>1.1057054400707651E-2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6-420B-92A9-8E9BD335EC6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08960086885686"/>
          <c:y val="4.9499156172783519E-2"/>
          <c:w val="0.28311313241017289"/>
          <c:h val="0.8227244583017236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600075</xdr:colOff>
      <xdr:row>8</xdr:row>
      <xdr:rowOff>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9600" y="533400"/>
          <a:ext cx="73056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i="1"/>
            <a:t>In deze kostprijssimulatie wordt er </a:t>
          </a:r>
          <a:r>
            <a:rPr lang="nl-NL" sz="1100" i="1" baseline="0"/>
            <a:t>uitgegaan van het scenario waarbij een zachtfruitbedrijf dat al over een aantal zaken beschikt zoals bijv. een fertigatie unit nu zelf long canes gaat opkweken. </a:t>
          </a:r>
        </a:p>
        <a:p>
          <a:r>
            <a:rPr lang="nl-NL" sz="1100" i="1" baseline="0"/>
            <a:t>Einddoel van deze berekening is om de prijs van een aangekochte long cane te kunnen vergeleken met een zelf geteelde cane.</a:t>
          </a:r>
        </a:p>
        <a:p>
          <a:r>
            <a:rPr lang="nl-NL" sz="1100" i="1" baseline="0"/>
            <a:t>Er werd gebruik gemaakt van eigen data van de proeftuin, arbeidsbegrotingen uit de Kwantitatieve informatie fruitteelt en recente aankoop- en offertegegevens van firma 's. Alle gebruikte prijzen zijn excl. BTW.</a:t>
          </a:r>
          <a:endParaRPr lang="nl-NL" sz="11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1</xdr:row>
      <xdr:rowOff>85725</xdr:rowOff>
    </xdr:from>
    <xdr:to>
      <xdr:col>22</xdr:col>
      <xdr:colOff>466726</xdr:colOff>
      <xdr:row>38</xdr:row>
      <xdr:rowOff>66674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A19BF1E-4D31-44ED-9708-19C690814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00"/>
  <sheetViews>
    <sheetView tabSelected="1" topLeftCell="A7" workbookViewId="0">
      <selection activeCell="G26" sqref="G26"/>
    </sheetView>
  </sheetViews>
  <sheetFormatPr defaultColWidth="9.109375" defaultRowHeight="14.4" x14ac:dyDescent="0.3"/>
  <cols>
    <col min="1" max="1" width="9.109375" style="2"/>
    <col min="2" max="2" width="82.33203125" style="2" bestFit="1" customWidth="1"/>
    <col min="3" max="3" width="12" style="2" bestFit="1" customWidth="1"/>
    <col min="4" max="5" width="9.109375" style="2"/>
    <col min="6" max="6" width="10" style="2" customWidth="1"/>
    <col min="7" max="16384" width="9.109375" style="2"/>
  </cols>
  <sheetData>
    <row r="1" spans="2:5" ht="21" x14ac:dyDescent="0.4">
      <c r="B1" s="4" t="s">
        <v>345</v>
      </c>
    </row>
    <row r="2" spans="2:5" ht="21" x14ac:dyDescent="0.4">
      <c r="B2" s="4"/>
    </row>
    <row r="3" spans="2:5" x14ac:dyDescent="0.3">
      <c r="B3" s="156"/>
      <c r="C3" s="157"/>
      <c r="D3" s="157"/>
      <c r="E3" s="158"/>
    </row>
    <row r="4" spans="2:5" x14ac:dyDescent="0.3">
      <c r="B4" s="159"/>
      <c r="C4" s="160"/>
      <c r="D4" s="160"/>
      <c r="E4" s="161"/>
    </row>
    <row r="5" spans="2:5" x14ac:dyDescent="0.3">
      <c r="B5" s="159"/>
      <c r="C5" s="160"/>
      <c r="D5" s="160"/>
      <c r="E5" s="161"/>
    </row>
    <row r="6" spans="2:5" x14ac:dyDescent="0.3">
      <c r="B6" s="159"/>
      <c r="C6" s="160"/>
      <c r="D6" s="160"/>
      <c r="E6" s="161"/>
    </row>
    <row r="7" spans="2:5" x14ac:dyDescent="0.3">
      <c r="B7" s="159"/>
      <c r="C7" s="160"/>
      <c r="D7" s="160"/>
      <c r="E7" s="161"/>
    </row>
    <row r="8" spans="2:5" x14ac:dyDescent="0.3">
      <c r="B8" s="162"/>
      <c r="C8" s="163"/>
      <c r="D8" s="163"/>
      <c r="E8" s="164"/>
    </row>
    <row r="10" spans="2:5" ht="18" x14ac:dyDescent="0.35">
      <c r="B10" s="36" t="s">
        <v>102</v>
      </c>
    </row>
    <row r="12" spans="2:5" x14ac:dyDescent="0.3">
      <c r="B12" s="1" t="s">
        <v>71</v>
      </c>
      <c r="C12" s="1" t="s">
        <v>0</v>
      </c>
      <c r="D12" s="1" t="s">
        <v>118</v>
      </c>
    </row>
    <row r="14" spans="2:5" x14ac:dyDescent="0.3">
      <c r="B14" s="2" t="s">
        <v>59</v>
      </c>
      <c r="C14" s="26" t="s">
        <v>7</v>
      </c>
      <c r="D14" s="26">
        <v>10.67</v>
      </c>
    </row>
    <row r="15" spans="2:5" x14ac:dyDescent="0.3">
      <c r="B15" s="2" t="s">
        <v>164</v>
      </c>
      <c r="C15" s="26" t="s">
        <v>7</v>
      </c>
      <c r="D15" s="26">
        <v>30</v>
      </c>
    </row>
    <row r="17" spans="2:9" x14ac:dyDescent="0.3">
      <c r="B17" s="2" t="s">
        <v>134</v>
      </c>
      <c r="C17" s="26" t="s">
        <v>89</v>
      </c>
      <c r="D17" s="26">
        <v>0.59</v>
      </c>
    </row>
    <row r="18" spans="2:9" x14ac:dyDescent="0.3">
      <c r="B18" s="2" t="s">
        <v>121</v>
      </c>
      <c r="C18" s="26" t="s">
        <v>122</v>
      </c>
      <c r="D18" s="26">
        <v>0.25</v>
      </c>
    </row>
    <row r="21" spans="2:9" x14ac:dyDescent="0.3">
      <c r="B21" s="2" t="s">
        <v>14</v>
      </c>
      <c r="C21" s="26" t="s">
        <v>188</v>
      </c>
      <c r="D21" s="40">
        <v>72.94</v>
      </c>
      <c r="H21" s="55"/>
      <c r="I21" s="3"/>
    </row>
    <row r="22" spans="2:9" x14ac:dyDescent="0.3">
      <c r="B22" s="2" t="s">
        <v>161</v>
      </c>
      <c r="C22" s="26" t="s">
        <v>190</v>
      </c>
      <c r="D22" s="26">
        <v>0.95</v>
      </c>
    </row>
    <row r="23" spans="2:9" x14ac:dyDescent="0.3">
      <c r="B23" s="2" t="s">
        <v>1</v>
      </c>
      <c r="C23" s="26" t="s">
        <v>191</v>
      </c>
      <c r="D23" s="26">
        <v>10</v>
      </c>
    </row>
    <row r="24" spans="2:9" x14ac:dyDescent="0.3">
      <c r="B24" s="2" t="s">
        <v>2</v>
      </c>
      <c r="C24" s="26" t="s">
        <v>18</v>
      </c>
      <c r="D24" s="26">
        <v>2</v>
      </c>
    </row>
    <row r="26" spans="2:9" x14ac:dyDescent="0.3">
      <c r="B26" s="1" t="s">
        <v>116</v>
      </c>
      <c r="C26" s="26" t="s">
        <v>117</v>
      </c>
      <c r="D26" s="26">
        <v>95</v>
      </c>
    </row>
    <row r="28" spans="2:9" x14ac:dyDescent="0.3">
      <c r="B28" s="1" t="s">
        <v>154</v>
      </c>
    </row>
    <row r="29" spans="2:9" x14ac:dyDescent="0.3">
      <c r="B29" s="71" t="s">
        <v>153</v>
      </c>
      <c r="C29" s="26" t="s">
        <v>117</v>
      </c>
      <c r="D29" s="26">
        <v>0</v>
      </c>
      <c r="E29" s="3"/>
      <c r="I29" s="3"/>
    </row>
    <row r="32" spans="2:9" x14ac:dyDescent="0.3">
      <c r="B32" s="1" t="s">
        <v>152</v>
      </c>
    </row>
    <row r="33" spans="2:6" x14ac:dyDescent="0.3">
      <c r="B33" s="2" t="s">
        <v>4</v>
      </c>
      <c r="C33" s="26" t="s">
        <v>104</v>
      </c>
      <c r="D33" s="26">
        <v>2.5</v>
      </c>
    </row>
    <row r="34" spans="2:6" x14ac:dyDescent="0.3">
      <c r="B34" s="2" t="s">
        <v>103</v>
      </c>
      <c r="C34" s="26" t="s">
        <v>104</v>
      </c>
      <c r="D34" s="26">
        <v>50</v>
      </c>
    </row>
    <row r="35" spans="2:6" x14ac:dyDescent="0.3">
      <c r="B35" s="2" t="s">
        <v>296</v>
      </c>
      <c r="C35" s="26" t="s">
        <v>18</v>
      </c>
      <c r="D35" s="26">
        <v>40</v>
      </c>
    </row>
    <row r="36" spans="2:6" x14ac:dyDescent="0.3">
      <c r="B36" s="2" t="s">
        <v>58</v>
      </c>
      <c r="C36" s="26" t="s">
        <v>18</v>
      </c>
      <c r="D36" s="26">
        <v>7.14</v>
      </c>
    </row>
    <row r="37" spans="2:6" x14ac:dyDescent="0.3">
      <c r="B37" s="2" t="s">
        <v>9</v>
      </c>
      <c r="C37" s="26" t="s">
        <v>104</v>
      </c>
      <c r="D37" s="26">
        <v>8</v>
      </c>
    </row>
    <row r="38" spans="2:6" x14ac:dyDescent="0.3">
      <c r="B38" s="2" t="s">
        <v>105</v>
      </c>
      <c r="C38" s="26" t="s">
        <v>18</v>
      </c>
      <c r="D38" s="26">
        <v>2</v>
      </c>
    </row>
    <row r="42" spans="2:6" x14ac:dyDescent="0.3">
      <c r="B42" s="1" t="s">
        <v>155</v>
      </c>
      <c r="C42" s="26" t="s">
        <v>304</v>
      </c>
      <c r="D42" s="124" t="s">
        <v>307</v>
      </c>
    </row>
    <row r="43" spans="2:6" x14ac:dyDescent="0.3">
      <c r="B43" s="2" t="s">
        <v>317</v>
      </c>
      <c r="C43" s="105">
        <v>0</v>
      </c>
    </row>
    <row r="45" spans="2:6" x14ac:dyDescent="0.3">
      <c r="B45" s="1" t="s">
        <v>12</v>
      </c>
    </row>
    <row r="46" spans="2:6" x14ac:dyDescent="0.3">
      <c r="B46" s="20" t="s">
        <v>135</v>
      </c>
      <c r="C46" s="26">
        <v>2</v>
      </c>
      <c r="F46" s="55"/>
    </row>
    <row r="47" spans="2:6" x14ac:dyDescent="0.3">
      <c r="B47" s="20" t="s">
        <v>226</v>
      </c>
      <c r="C47" s="26">
        <v>0.1</v>
      </c>
      <c r="F47" s="55"/>
    </row>
    <row r="48" spans="2:6" x14ac:dyDescent="0.3">
      <c r="B48" s="20" t="s">
        <v>225</v>
      </c>
      <c r="C48" s="26">
        <v>120</v>
      </c>
      <c r="F48" s="55"/>
    </row>
    <row r="49" spans="2:6" x14ac:dyDescent="0.3">
      <c r="B49" s="20" t="s">
        <v>136</v>
      </c>
      <c r="C49" s="26">
        <v>5.5</v>
      </c>
    </row>
    <row r="50" spans="2:6" x14ac:dyDescent="0.3">
      <c r="B50" s="71" t="s">
        <v>16</v>
      </c>
      <c r="C50" s="26" t="s">
        <v>3</v>
      </c>
      <c r="F50" s="3"/>
    </row>
    <row r="51" spans="2:6" x14ac:dyDescent="0.3">
      <c r="B51" s="71" t="s">
        <v>336</v>
      </c>
      <c r="C51" s="105">
        <v>0</v>
      </c>
    </row>
    <row r="53" spans="2:6" x14ac:dyDescent="0.3">
      <c r="B53" s="1" t="s">
        <v>184</v>
      </c>
      <c r="C53" s="1" t="s">
        <v>188</v>
      </c>
      <c r="D53" s="1" t="s">
        <v>189</v>
      </c>
    </row>
    <row r="54" spans="2:6" x14ac:dyDescent="0.3">
      <c r="B54" s="2" t="s">
        <v>185</v>
      </c>
      <c r="C54" s="26">
        <v>1.5</v>
      </c>
      <c r="D54" s="26">
        <v>45</v>
      </c>
    </row>
    <row r="55" spans="2:6" x14ac:dyDescent="0.3">
      <c r="B55" s="2" t="s">
        <v>186</v>
      </c>
      <c r="C55" s="26">
        <v>1</v>
      </c>
      <c r="D55" s="26">
        <v>50</v>
      </c>
    </row>
    <row r="56" spans="2:6" x14ac:dyDescent="0.3">
      <c r="B56" s="2" t="s">
        <v>187</v>
      </c>
      <c r="C56" s="26">
        <v>3.5</v>
      </c>
      <c r="D56" s="26">
        <v>5</v>
      </c>
    </row>
    <row r="58" spans="2:6" x14ac:dyDescent="0.3">
      <c r="B58" s="1" t="s">
        <v>17</v>
      </c>
    </row>
    <row r="59" spans="2:6" x14ac:dyDescent="0.3">
      <c r="B59" s="20" t="s">
        <v>162</v>
      </c>
      <c r="C59" s="26" t="s">
        <v>3</v>
      </c>
      <c r="D59" s="124" t="s">
        <v>307</v>
      </c>
    </row>
    <row r="60" spans="2:6" x14ac:dyDescent="0.3">
      <c r="B60" s="2" t="s">
        <v>81</v>
      </c>
      <c r="C60" s="26">
        <v>60</v>
      </c>
    </row>
    <row r="61" spans="2:6" x14ac:dyDescent="0.3">
      <c r="B61" s="2" t="s">
        <v>308</v>
      </c>
      <c r="C61" s="26">
        <v>24</v>
      </c>
    </row>
    <row r="62" spans="2:6" x14ac:dyDescent="0.3">
      <c r="B62" s="2" t="s">
        <v>119</v>
      </c>
      <c r="C62" s="26">
        <v>10</v>
      </c>
    </row>
    <row r="64" spans="2:6" x14ac:dyDescent="0.3">
      <c r="B64" s="1" t="s">
        <v>163</v>
      </c>
    </row>
    <row r="65" spans="2:6" x14ac:dyDescent="0.3">
      <c r="B65" s="71" t="s">
        <v>183</v>
      </c>
      <c r="C65" s="26">
        <v>500</v>
      </c>
    </row>
    <row r="67" spans="2:6" x14ac:dyDescent="0.3">
      <c r="F67" s="3"/>
    </row>
    <row r="68" spans="2:6" x14ac:dyDescent="0.3">
      <c r="B68" s="1" t="s">
        <v>90</v>
      </c>
      <c r="F68" s="3"/>
    </row>
    <row r="69" spans="2:6" x14ac:dyDescent="0.3">
      <c r="B69" s="20" t="s">
        <v>311</v>
      </c>
      <c r="C69" s="26" t="s">
        <v>15</v>
      </c>
      <c r="F69" s="3"/>
    </row>
    <row r="70" spans="2:6" x14ac:dyDescent="0.3">
      <c r="B70" s="2" t="s">
        <v>312</v>
      </c>
      <c r="C70" s="26" t="s">
        <v>15</v>
      </c>
    </row>
    <row r="71" spans="2:6" x14ac:dyDescent="0.3">
      <c r="B71" s="2" t="s">
        <v>253</v>
      </c>
      <c r="C71" s="77">
        <v>0.15</v>
      </c>
    </row>
    <row r="72" spans="2:6" x14ac:dyDescent="0.3">
      <c r="B72" s="20" t="s">
        <v>254</v>
      </c>
      <c r="C72" s="105">
        <v>2000</v>
      </c>
    </row>
    <row r="87" spans="2:2" x14ac:dyDescent="0.3">
      <c r="B87" s="1"/>
    </row>
    <row r="100" spans="3:3" x14ac:dyDescent="0.3">
      <c r="C100" s="3"/>
    </row>
  </sheetData>
  <mergeCells count="1">
    <mergeCell ref="B3:E8"/>
  </mergeCells>
  <pageMargins left="0.70866141732283472" right="0.70866141732283472" top="0.74803149606299213" bottom="0.74803149606299213" header="0.31496062992125984" footer="0.31496062992125984"/>
  <pageSetup paperSize="9"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87"/>
  <sheetViews>
    <sheetView topLeftCell="A34" workbookViewId="0">
      <selection activeCell="G86" sqref="G86"/>
    </sheetView>
  </sheetViews>
  <sheetFormatPr defaultColWidth="9.109375" defaultRowHeight="14.4" x14ac:dyDescent="0.3"/>
  <cols>
    <col min="1" max="1" width="56.33203125" style="6" bestFit="1" customWidth="1"/>
    <col min="2" max="2" width="20.88671875" style="6" bestFit="1" customWidth="1"/>
    <col min="3" max="3" width="15.6640625" style="6" bestFit="1" customWidth="1"/>
    <col min="4" max="4" width="15.109375" style="6" customWidth="1"/>
    <col min="5" max="5" width="9.109375" style="6"/>
    <col min="6" max="6" width="11.44140625" style="6" customWidth="1"/>
    <col min="7" max="7" width="14.33203125" style="6" customWidth="1"/>
    <col min="8" max="8" width="16.88671875" style="6" bestFit="1" customWidth="1"/>
    <col min="9" max="12" width="9.109375" style="6"/>
    <col min="13" max="13" width="25" style="6" customWidth="1"/>
    <col min="14" max="16384" width="9.109375" style="6"/>
  </cols>
  <sheetData>
    <row r="2" spans="1:8" x14ac:dyDescent="0.3">
      <c r="F2" s="7"/>
      <c r="G2" s="7"/>
      <c r="H2" s="7"/>
    </row>
    <row r="3" spans="1:8" x14ac:dyDescent="0.3">
      <c r="F3" s="7"/>
      <c r="G3" s="7"/>
      <c r="H3" s="7"/>
    </row>
    <row r="4" spans="1:8" x14ac:dyDescent="0.3">
      <c r="A4" s="5" t="s">
        <v>139</v>
      </c>
      <c r="F4" s="7"/>
      <c r="G4" s="7"/>
      <c r="H4" s="7"/>
    </row>
    <row r="5" spans="1:8" x14ac:dyDescent="0.3">
      <c r="A5" s="10"/>
      <c r="B5" s="12" t="s">
        <v>263</v>
      </c>
      <c r="F5" s="7"/>
      <c r="G5" s="7"/>
      <c r="H5" s="7"/>
    </row>
    <row r="6" spans="1:8" x14ac:dyDescent="0.3">
      <c r="A6" s="11" t="s">
        <v>5</v>
      </c>
      <c r="B6" s="165">
        <v>175</v>
      </c>
      <c r="F6" s="7"/>
    </row>
    <row r="7" spans="1:8" x14ac:dyDescent="0.3">
      <c r="A7" s="11" t="s">
        <v>6</v>
      </c>
      <c r="B7" s="166"/>
      <c r="F7" s="7"/>
    </row>
    <row r="8" spans="1:8" x14ac:dyDescent="0.3">
      <c r="A8" s="11" t="s">
        <v>64</v>
      </c>
      <c r="B8" s="167"/>
      <c r="F8" s="7"/>
    </row>
    <row r="9" spans="1:8" x14ac:dyDescent="0.3">
      <c r="A9" s="11" t="s">
        <v>65</v>
      </c>
      <c r="B9" s="11">
        <v>24</v>
      </c>
      <c r="F9" s="7"/>
    </row>
    <row r="10" spans="1:8" x14ac:dyDescent="0.3">
      <c r="A10" s="11" t="s">
        <v>8</v>
      </c>
      <c r="B10" s="11">
        <v>170</v>
      </c>
      <c r="F10" s="7"/>
    </row>
    <row r="11" spans="1:8" x14ac:dyDescent="0.3">
      <c r="A11" s="11" t="s">
        <v>10</v>
      </c>
      <c r="B11" s="11">
        <v>32</v>
      </c>
      <c r="F11" s="7"/>
      <c r="G11" s="7"/>
      <c r="H11" s="7"/>
    </row>
    <row r="12" spans="1:8" x14ac:dyDescent="0.3">
      <c r="A12" s="21" t="s">
        <v>57</v>
      </c>
      <c r="B12" s="47">
        <f>SUM(B6:B11)</f>
        <v>401</v>
      </c>
      <c r="F12" s="7"/>
      <c r="G12" s="7"/>
      <c r="H12" s="7"/>
    </row>
    <row r="13" spans="1:8" x14ac:dyDescent="0.3">
      <c r="A13" s="21"/>
      <c r="B13" s="14"/>
      <c r="F13" s="7"/>
      <c r="G13" s="7"/>
      <c r="H13" s="7"/>
    </row>
    <row r="14" spans="1:8" x14ac:dyDescent="0.3">
      <c r="A14" s="9" t="s">
        <v>91</v>
      </c>
      <c r="B14" s="37">
        <v>0.95</v>
      </c>
    </row>
    <row r="15" spans="1:8" x14ac:dyDescent="0.3">
      <c r="A15" s="9"/>
      <c r="B15" s="37"/>
    </row>
    <row r="16" spans="1:8" x14ac:dyDescent="0.3">
      <c r="A16" s="107" t="s">
        <v>241</v>
      </c>
      <c r="B16" s="104">
        <v>20</v>
      </c>
    </row>
    <row r="17" spans="1:3" x14ac:dyDescent="0.3">
      <c r="A17" s="107"/>
      <c r="B17" s="104"/>
    </row>
    <row r="18" spans="1:3" x14ac:dyDescent="0.3">
      <c r="A18" s="107"/>
      <c r="B18" s="104"/>
    </row>
    <row r="19" spans="1:3" x14ac:dyDescent="0.3">
      <c r="A19" s="5" t="s">
        <v>265</v>
      </c>
      <c r="B19" s="104"/>
    </row>
    <row r="20" spans="1:3" x14ac:dyDescent="0.3">
      <c r="A20" s="5"/>
      <c r="B20" s="104"/>
    </row>
    <row r="21" spans="1:3" x14ac:dyDescent="0.3">
      <c r="A21" s="107" t="s">
        <v>266</v>
      </c>
      <c r="B21" s="104" t="str">
        <f>algemeen!C42</f>
        <v>neen</v>
      </c>
    </row>
    <row r="22" spans="1:3" x14ac:dyDescent="0.3">
      <c r="A22" s="107" t="s">
        <v>268</v>
      </c>
      <c r="B22" s="100">
        <v>0</v>
      </c>
    </row>
    <row r="23" spans="1:3" x14ac:dyDescent="0.3">
      <c r="A23" s="107"/>
      <c r="B23" s="104"/>
    </row>
    <row r="24" spans="1:3" x14ac:dyDescent="0.3">
      <c r="A24" s="107"/>
      <c r="B24" s="104"/>
    </row>
    <row r="25" spans="1:3" x14ac:dyDescent="0.3">
      <c r="A25" s="9"/>
      <c r="B25" s="104"/>
    </row>
    <row r="27" spans="1:3" x14ac:dyDescent="0.3">
      <c r="A27" s="5" t="s">
        <v>12</v>
      </c>
    </row>
    <row r="28" spans="1:3" x14ac:dyDescent="0.3">
      <c r="A28" s="5"/>
    </row>
    <row r="29" spans="1:3" x14ac:dyDescent="0.3">
      <c r="A29" s="5"/>
    </row>
    <row r="30" spans="1:3" x14ac:dyDescent="0.3">
      <c r="A30" s="5"/>
    </row>
    <row r="31" spans="1:3" x14ac:dyDescent="0.3">
      <c r="A31" s="9" t="s">
        <v>173</v>
      </c>
    </row>
    <row r="32" spans="1:3" x14ac:dyDescent="0.3">
      <c r="A32" s="5"/>
      <c r="C32" s="9" t="s">
        <v>177</v>
      </c>
    </row>
    <row r="33" spans="1:5" x14ac:dyDescent="0.3">
      <c r="A33" s="10" t="s">
        <v>174</v>
      </c>
      <c r="B33" s="11">
        <f>algemeen!D54</f>
        <v>45</v>
      </c>
      <c r="C33" s="11">
        <f>algemeen!C54</f>
        <v>1.5</v>
      </c>
      <c r="E33" s="7"/>
    </row>
    <row r="34" spans="1:5" x14ac:dyDescent="0.3">
      <c r="A34" s="10" t="s">
        <v>175</v>
      </c>
      <c r="B34" s="11">
        <f>algemeen!D55</f>
        <v>50</v>
      </c>
      <c r="C34" s="11">
        <f>algemeen!C55</f>
        <v>1</v>
      </c>
    </row>
    <row r="35" spans="1:5" x14ac:dyDescent="0.3">
      <c r="A35" s="10" t="s">
        <v>176</v>
      </c>
      <c r="B35" s="11">
        <f>algemeen!D56</f>
        <v>5</v>
      </c>
      <c r="C35" s="11">
        <f>algemeen!C56</f>
        <v>3.5</v>
      </c>
    </row>
    <row r="36" spans="1:5" x14ac:dyDescent="0.3">
      <c r="A36" s="75"/>
      <c r="B36" s="14"/>
    </row>
    <row r="37" spans="1:5" ht="20.399999999999999" customHeight="1" x14ac:dyDescent="0.3"/>
    <row r="38" spans="1:5" x14ac:dyDescent="0.3">
      <c r="A38" s="5"/>
    </row>
    <row r="39" spans="1:5" x14ac:dyDescent="0.3">
      <c r="A39" s="35" t="s">
        <v>73</v>
      </c>
    </row>
    <row r="40" spans="1:5" x14ac:dyDescent="0.3">
      <c r="B40" s="13"/>
    </row>
    <row r="41" spans="1:5" x14ac:dyDescent="0.3">
      <c r="A41" s="10" t="s">
        <v>194</v>
      </c>
      <c r="B41" s="10" t="s">
        <v>267</v>
      </c>
      <c r="C41" s="10" t="s">
        <v>192</v>
      </c>
    </row>
    <row r="42" spans="1:5" x14ac:dyDescent="0.3">
      <c r="A42" s="11" t="s">
        <v>195</v>
      </c>
      <c r="B42" s="11" t="s">
        <v>196</v>
      </c>
      <c r="C42" s="109">
        <v>0.20910000000000001</v>
      </c>
    </row>
    <row r="43" spans="1:5" x14ac:dyDescent="0.3">
      <c r="A43" s="11"/>
      <c r="B43" s="11" t="s">
        <v>197</v>
      </c>
      <c r="C43" s="109">
        <v>0.19259999999999999</v>
      </c>
    </row>
    <row r="44" spans="1:5" x14ac:dyDescent="0.3">
      <c r="A44" s="11"/>
      <c r="B44" s="11" t="s">
        <v>198</v>
      </c>
      <c r="C44" s="109">
        <v>0.23139999999999999</v>
      </c>
    </row>
    <row r="45" spans="1:5" x14ac:dyDescent="0.3">
      <c r="A45" s="11" t="s">
        <v>199</v>
      </c>
      <c r="B45" s="11" t="s">
        <v>200</v>
      </c>
      <c r="C45" s="109">
        <v>0.2349</v>
      </c>
    </row>
    <row r="46" spans="1:5" x14ac:dyDescent="0.3">
      <c r="A46" s="11"/>
      <c r="B46" s="11" t="s">
        <v>201</v>
      </c>
      <c r="C46" s="109">
        <v>0.18770000000000001</v>
      </c>
    </row>
    <row r="47" spans="1:5" x14ac:dyDescent="0.3">
      <c r="A47" s="11"/>
      <c r="B47" s="11" t="s">
        <v>202</v>
      </c>
      <c r="C47" s="109">
        <v>0.72140000000000004</v>
      </c>
    </row>
    <row r="48" spans="1:5" x14ac:dyDescent="0.3">
      <c r="A48" s="11"/>
      <c r="B48" s="11" t="s">
        <v>203</v>
      </c>
      <c r="C48" s="109">
        <v>0.84509999999999996</v>
      </c>
    </row>
    <row r="49" spans="1:5" x14ac:dyDescent="0.3">
      <c r="A49" s="10" t="s">
        <v>204</v>
      </c>
      <c r="B49" s="10"/>
      <c r="C49" s="10" t="s">
        <v>260</v>
      </c>
    </row>
    <row r="50" spans="1:5" x14ac:dyDescent="0.3">
      <c r="A50" s="11"/>
      <c r="B50" s="11" t="s">
        <v>207</v>
      </c>
      <c r="C50" s="111">
        <v>54.5</v>
      </c>
    </row>
    <row r="51" spans="1:5" x14ac:dyDescent="0.3">
      <c r="A51" s="11"/>
      <c r="B51" s="11" t="s">
        <v>208</v>
      </c>
      <c r="C51" s="111">
        <v>112.62</v>
      </c>
    </row>
    <row r="52" spans="1:5" x14ac:dyDescent="0.3">
      <c r="A52" s="11"/>
      <c r="B52" s="11" t="s">
        <v>209</v>
      </c>
      <c r="C52" s="111">
        <v>121</v>
      </c>
    </row>
    <row r="53" spans="1:5" x14ac:dyDescent="0.3">
      <c r="A53" s="11"/>
      <c r="B53" s="11" t="s">
        <v>210</v>
      </c>
      <c r="C53" s="111">
        <v>44</v>
      </c>
    </row>
    <row r="54" spans="1:5" x14ac:dyDescent="0.3">
      <c r="A54" s="11"/>
      <c r="B54" s="11" t="s">
        <v>211</v>
      </c>
      <c r="C54" s="111">
        <v>43.2</v>
      </c>
    </row>
    <row r="55" spans="1:5" x14ac:dyDescent="0.3">
      <c r="A55" s="11"/>
      <c r="B55" s="11" t="s">
        <v>212</v>
      </c>
      <c r="C55" s="111">
        <v>52.5</v>
      </c>
    </row>
    <row r="58" spans="1:5" x14ac:dyDescent="0.3">
      <c r="A58" s="34" t="s">
        <v>74</v>
      </c>
      <c r="B58" s="9" t="s">
        <v>75</v>
      </c>
      <c r="C58" s="9" t="s">
        <v>76</v>
      </c>
    </row>
    <row r="59" spans="1:5" x14ac:dyDescent="0.3">
      <c r="A59" s="9"/>
      <c r="B59" s="9"/>
      <c r="C59" s="9"/>
    </row>
    <row r="60" spans="1:5" x14ac:dyDescent="0.3">
      <c r="A60" s="11" t="s">
        <v>146</v>
      </c>
      <c r="B60" s="110">
        <f>585.7/1600</f>
        <v>0.36606250000000001</v>
      </c>
      <c r="C60" s="11">
        <v>5</v>
      </c>
    </row>
    <row r="61" spans="1:5" x14ac:dyDescent="0.3">
      <c r="A61" s="11" t="s">
        <v>141</v>
      </c>
      <c r="B61" s="11">
        <v>0.33600000000000002</v>
      </c>
      <c r="C61" s="11">
        <v>5</v>
      </c>
    </row>
    <row r="62" spans="1:5" x14ac:dyDescent="0.3">
      <c r="A62" s="11" t="s">
        <v>144</v>
      </c>
      <c r="B62" s="11">
        <v>2.0299999999999998</v>
      </c>
      <c r="C62" s="11">
        <v>10</v>
      </c>
    </row>
    <row r="63" spans="1:5" x14ac:dyDescent="0.3">
      <c r="A63" s="11" t="s">
        <v>145</v>
      </c>
      <c r="B63" s="22">
        <v>1000</v>
      </c>
      <c r="C63" s="11">
        <v>10</v>
      </c>
      <c r="E63" s="7"/>
    </row>
    <row r="64" spans="1:5" x14ac:dyDescent="0.3">
      <c r="A64" s="11" t="s">
        <v>143</v>
      </c>
      <c r="B64" s="11">
        <v>2.83</v>
      </c>
      <c r="C64" s="11">
        <v>10</v>
      </c>
    </row>
    <row r="65" spans="1:8" x14ac:dyDescent="0.3">
      <c r="A65" s="14"/>
      <c r="B65" s="14"/>
      <c r="C65" s="14"/>
    </row>
    <row r="66" spans="1:8" x14ac:dyDescent="0.3">
      <c r="A66" s="35" t="s">
        <v>142</v>
      </c>
      <c r="B66" s="56">
        <v>0.1</v>
      </c>
      <c r="C66" s="14"/>
    </row>
    <row r="67" spans="1:8" x14ac:dyDescent="0.3">
      <c r="A67" s="14"/>
      <c r="B67" s="14"/>
      <c r="C67" s="14"/>
    </row>
    <row r="69" spans="1:8" x14ac:dyDescent="0.3">
      <c r="A69" s="5" t="s">
        <v>140</v>
      </c>
    </row>
    <row r="70" spans="1:8" x14ac:dyDescent="0.3">
      <c r="A70" s="5"/>
      <c r="B70" s="8"/>
      <c r="C70" s="8"/>
      <c r="D70" s="8"/>
      <c r="E70" s="8"/>
      <c r="F70" s="8"/>
      <c r="G70" s="8"/>
    </row>
    <row r="71" spans="1:8" x14ac:dyDescent="0.3">
      <c r="A71" s="5"/>
      <c r="B71" s="8" t="s">
        <v>100</v>
      </c>
      <c r="C71" s="8" t="s">
        <v>112</v>
      </c>
    </row>
    <row r="72" spans="1:8" x14ac:dyDescent="0.3">
      <c r="A72" s="15" t="s">
        <v>21</v>
      </c>
      <c r="B72" s="11">
        <v>0.72</v>
      </c>
      <c r="C72" s="11">
        <v>1</v>
      </c>
      <c r="H72" s="7"/>
    </row>
    <row r="73" spans="1:8" x14ac:dyDescent="0.3">
      <c r="A73" s="15" t="s">
        <v>20</v>
      </c>
      <c r="B73" s="11">
        <v>2.84</v>
      </c>
      <c r="C73" s="11">
        <v>1</v>
      </c>
    </row>
    <row r="74" spans="1:8" x14ac:dyDescent="0.3">
      <c r="A74" s="11" t="s">
        <v>108</v>
      </c>
      <c r="B74" s="11">
        <v>6.82</v>
      </c>
      <c r="C74" s="11">
        <v>1</v>
      </c>
    </row>
    <row r="75" spans="1:8" x14ac:dyDescent="0.3">
      <c r="A75" s="11" t="s">
        <v>22</v>
      </c>
      <c r="B75" s="11">
        <v>52.51</v>
      </c>
      <c r="C75" s="11" t="s">
        <v>23</v>
      </c>
    </row>
    <row r="76" spans="1:8" x14ac:dyDescent="0.3">
      <c r="A76" s="11" t="s">
        <v>80</v>
      </c>
      <c r="B76" s="11">
        <v>0.38</v>
      </c>
      <c r="C76" s="11">
        <v>1</v>
      </c>
      <c r="D76" s="7"/>
    </row>
    <row r="77" spans="1:8" x14ac:dyDescent="0.3">
      <c r="A77" s="22" t="s">
        <v>111</v>
      </c>
      <c r="B77" s="6">
        <v>51.98</v>
      </c>
      <c r="C77" s="11" t="s">
        <v>98</v>
      </c>
    </row>
    <row r="78" spans="1:8" x14ac:dyDescent="0.3">
      <c r="A78" s="22" t="s">
        <v>99</v>
      </c>
      <c r="B78" s="11">
        <v>8.9499999999999993</v>
      </c>
      <c r="C78" s="11" t="s">
        <v>101</v>
      </c>
    </row>
    <row r="79" spans="1:8" x14ac:dyDescent="0.3">
      <c r="A79" s="22" t="s">
        <v>347</v>
      </c>
      <c r="B79" s="11">
        <v>131.94999999999999</v>
      </c>
      <c r="C79" s="11">
        <v>15</v>
      </c>
    </row>
    <row r="80" spans="1:8" x14ac:dyDescent="0.3">
      <c r="A80" s="22" t="s">
        <v>182</v>
      </c>
      <c r="B80" s="11">
        <v>200</v>
      </c>
      <c r="C80" s="11"/>
    </row>
    <row r="81" spans="1:7" x14ac:dyDescent="0.3">
      <c r="A81" s="76"/>
      <c r="B81" s="14"/>
      <c r="C81" s="14"/>
    </row>
    <row r="82" spans="1:7" x14ac:dyDescent="0.3">
      <c r="A82" s="35" t="s">
        <v>113</v>
      </c>
      <c r="B82" s="14">
        <f>55+50+50</f>
        <v>155</v>
      </c>
      <c r="C82" s="14"/>
      <c r="D82" s="7"/>
    </row>
    <row r="83" spans="1:7" x14ac:dyDescent="0.3">
      <c r="A83" s="35"/>
      <c r="B83" s="14"/>
      <c r="C83" s="14"/>
      <c r="D83" s="14"/>
      <c r="E83" s="14"/>
      <c r="F83" s="14"/>
      <c r="G83" s="14"/>
    </row>
    <row r="84" spans="1:7" x14ac:dyDescent="0.3">
      <c r="A84" s="9" t="s">
        <v>91</v>
      </c>
      <c r="B84" s="37">
        <v>0.9</v>
      </c>
    </row>
    <row r="86" spans="1:7" x14ac:dyDescent="0.3">
      <c r="A86" s="5" t="s">
        <v>72</v>
      </c>
    </row>
    <row r="87" spans="1:7" x14ac:dyDescent="0.3">
      <c r="A87" s="5"/>
    </row>
    <row r="88" spans="1:7" x14ac:dyDescent="0.3">
      <c r="A88" s="11"/>
      <c r="B88" s="16" t="s">
        <v>284</v>
      </c>
      <c r="C88" s="16" t="s">
        <v>285</v>
      </c>
      <c r="D88" s="16" t="s">
        <v>60</v>
      </c>
    </row>
    <row r="89" spans="1:7" x14ac:dyDescent="0.3">
      <c r="A89" s="11" t="s">
        <v>283</v>
      </c>
      <c r="B89" s="111">
        <v>33.090000000000003</v>
      </c>
      <c r="C89" s="11">
        <v>100</v>
      </c>
      <c r="D89" s="109">
        <f>B89/100</f>
        <v>0.33090000000000003</v>
      </c>
    </row>
    <row r="90" spans="1:7" x14ac:dyDescent="0.3">
      <c r="A90" s="11" t="s">
        <v>281</v>
      </c>
      <c r="B90" s="111">
        <v>21.31</v>
      </c>
      <c r="C90" s="11">
        <v>1000</v>
      </c>
      <c r="D90" s="109">
        <f>B90/1000</f>
        <v>2.1309999999999999E-2</v>
      </c>
    </row>
    <row r="91" spans="1:7" x14ac:dyDescent="0.3">
      <c r="A91" s="11" t="s">
        <v>278</v>
      </c>
      <c r="B91" s="111">
        <v>33.36</v>
      </c>
      <c r="C91" s="11">
        <v>1</v>
      </c>
      <c r="D91" s="109">
        <f>B91</f>
        <v>33.36</v>
      </c>
    </row>
    <row r="92" spans="1:7" x14ac:dyDescent="0.3">
      <c r="A92" s="11" t="s">
        <v>19</v>
      </c>
      <c r="B92" s="111">
        <v>1.63</v>
      </c>
      <c r="C92" s="11">
        <v>4800</v>
      </c>
      <c r="D92" s="109">
        <f>B92/C92</f>
        <v>3.3958333333333328E-4</v>
      </c>
    </row>
    <row r="93" spans="1:7" x14ac:dyDescent="0.3">
      <c r="A93" s="11" t="s">
        <v>280</v>
      </c>
      <c r="B93" s="111">
        <v>10.18</v>
      </c>
      <c r="C93" s="11" t="s">
        <v>137</v>
      </c>
      <c r="D93" s="109">
        <f>B93/10</f>
        <v>1.018</v>
      </c>
    </row>
    <row r="94" spans="1:7" x14ac:dyDescent="0.3">
      <c r="A94" s="11" t="s">
        <v>79</v>
      </c>
      <c r="B94" s="143" t="s">
        <v>346</v>
      </c>
      <c r="C94" s="11">
        <v>1</v>
      </c>
      <c r="D94" s="109">
        <v>0.1</v>
      </c>
    </row>
    <row r="99" spans="1:5" x14ac:dyDescent="0.3">
      <c r="A99" s="5" t="s">
        <v>17</v>
      </c>
    </row>
    <row r="100" spans="1:5" x14ac:dyDescent="0.3">
      <c r="A100" s="5"/>
    </row>
    <row r="101" spans="1:5" x14ac:dyDescent="0.3">
      <c r="A101" s="11" t="s">
        <v>167</v>
      </c>
      <c r="B101" s="11">
        <v>50</v>
      </c>
    </row>
    <row r="102" spans="1:5" x14ac:dyDescent="0.3">
      <c r="A102" s="11" t="s">
        <v>242</v>
      </c>
      <c r="B102" s="11">
        <v>4</v>
      </c>
    </row>
    <row r="103" spans="1:5" x14ac:dyDescent="0.3">
      <c r="A103" s="11" t="s">
        <v>289</v>
      </c>
      <c r="B103" s="11">
        <v>250</v>
      </c>
      <c r="E103" s="7"/>
    </row>
    <row r="104" spans="1:5" x14ac:dyDescent="0.3">
      <c r="A104" s="11" t="s">
        <v>290</v>
      </c>
      <c r="B104" s="11">
        <v>0.45</v>
      </c>
    </row>
    <row r="105" spans="1:5" x14ac:dyDescent="0.3">
      <c r="A105" s="11" t="s">
        <v>77</v>
      </c>
      <c r="B105" s="15">
        <v>4.66</v>
      </c>
      <c r="C105" s="9"/>
    </row>
    <row r="106" spans="1:5" x14ac:dyDescent="0.3">
      <c r="A106" s="11" t="s">
        <v>78</v>
      </c>
      <c r="B106" s="11">
        <v>1.24</v>
      </c>
    </row>
    <row r="107" spans="1:5" x14ac:dyDescent="0.3">
      <c r="A107" s="144" t="s">
        <v>292</v>
      </c>
      <c r="B107" s="11">
        <v>2</v>
      </c>
      <c r="C107" s="46"/>
    </row>
    <row r="108" spans="1:5" s="14" customFormat="1" x14ac:dyDescent="0.3">
      <c r="A108" s="73"/>
      <c r="B108" s="41"/>
    </row>
    <row r="109" spans="1:5" s="14" customFormat="1" x14ac:dyDescent="0.3">
      <c r="A109" s="9" t="s">
        <v>91</v>
      </c>
      <c r="B109" s="37">
        <v>0.95</v>
      </c>
    </row>
    <row r="110" spans="1:5" s="14" customFormat="1" x14ac:dyDescent="0.3">
      <c r="A110" s="9"/>
      <c r="B110" s="37"/>
    </row>
    <row r="111" spans="1:5" s="14" customFormat="1" x14ac:dyDescent="0.3">
      <c r="A111" s="5" t="s">
        <v>163</v>
      </c>
      <c r="B111" s="37"/>
    </row>
    <row r="112" spans="1:5" s="14" customFormat="1" x14ac:dyDescent="0.3">
      <c r="A112" s="9"/>
      <c r="B112" s="37"/>
    </row>
    <row r="113" spans="1:3" s="14" customFormat="1" x14ac:dyDescent="0.3">
      <c r="A113" s="9"/>
      <c r="B113" s="37"/>
    </row>
    <row r="114" spans="1:3" s="14" customFormat="1" x14ac:dyDescent="0.3">
      <c r="A114" s="9"/>
      <c r="B114" s="37"/>
    </row>
    <row r="115" spans="1:3" s="14" customFormat="1" x14ac:dyDescent="0.3">
      <c r="A115" s="9"/>
      <c r="B115" s="37"/>
    </row>
    <row r="116" spans="1:3" s="14" customFormat="1" x14ac:dyDescent="0.3">
      <c r="A116" s="9"/>
      <c r="B116" s="37"/>
    </row>
    <row r="117" spans="1:3" x14ac:dyDescent="0.3">
      <c r="A117" s="35"/>
      <c r="B117" s="14"/>
    </row>
    <row r="118" spans="1:3" x14ac:dyDescent="0.3">
      <c r="A118" s="117"/>
      <c r="B118" s="106"/>
    </row>
    <row r="119" spans="1:3" x14ac:dyDescent="0.3">
      <c r="A119" s="118"/>
      <c r="B119" s="118"/>
    </row>
    <row r="120" spans="1:3" x14ac:dyDescent="0.3">
      <c r="A120" s="118"/>
      <c r="B120" s="118"/>
    </row>
    <row r="121" spans="1:3" x14ac:dyDescent="0.3">
      <c r="A121" s="118"/>
      <c r="B121" s="118"/>
    </row>
    <row r="122" spans="1:3" x14ac:dyDescent="0.3">
      <c r="A122" s="7"/>
      <c r="B122" s="106"/>
    </row>
    <row r="123" spans="1:3" x14ac:dyDescent="0.3">
      <c r="B123" s="106"/>
    </row>
    <row r="125" spans="1:3" x14ac:dyDescent="0.3">
      <c r="A125" s="5" t="s">
        <v>11</v>
      </c>
    </row>
    <row r="126" spans="1:3" x14ac:dyDescent="0.3">
      <c r="A126" s="5"/>
    </row>
    <row r="127" spans="1:3" x14ac:dyDescent="0.3">
      <c r="A127" s="12" t="s">
        <v>123</v>
      </c>
      <c r="B127" s="11">
        <v>2</v>
      </c>
      <c r="C127" s="46"/>
    </row>
    <row r="128" spans="1:3" x14ac:dyDescent="0.3">
      <c r="A128" s="11" t="s">
        <v>132</v>
      </c>
      <c r="B128" s="11">
        <v>10</v>
      </c>
    </row>
    <row r="129" spans="1:9" x14ac:dyDescent="0.3">
      <c r="A129" s="11" t="s">
        <v>56</v>
      </c>
      <c r="B129" s="11">
        <f>B127</f>
        <v>2</v>
      </c>
    </row>
    <row r="130" spans="1:9" x14ac:dyDescent="0.3">
      <c r="A130" s="119" t="s">
        <v>264</v>
      </c>
      <c r="B130" s="111">
        <v>15</v>
      </c>
    </row>
    <row r="131" spans="1:9" x14ac:dyDescent="0.3">
      <c r="A131" s="6" t="s">
        <v>275</v>
      </c>
      <c r="B131" s="111">
        <v>440</v>
      </c>
    </row>
    <row r="132" spans="1:9" x14ac:dyDescent="0.3">
      <c r="A132" s="11" t="s">
        <v>274</v>
      </c>
      <c r="B132" s="11" t="s">
        <v>239</v>
      </c>
    </row>
    <row r="135" spans="1:9" x14ac:dyDescent="0.3">
      <c r="A135" s="16" t="s">
        <v>66</v>
      </c>
      <c r="B135" s="16" t="s">
        <v>67</v>
      </c>
      <c r="C135" s="16" t="s">
        <v>70</v>
      </c>
      <c r="D135" s="16" t="s">
        <v>69</v>
      </c>
      <c r="E135" s="16"/>
      <c r="F135" s="16" t="s">
        <v>68</v>
      </c>
      <c r="G135" s="16" t="s">
        <v>54</v>
      </c>
      <c r="H135" s="16" t="s">
        <v>55</v>
      </c>
      <c r="I135" s="8"/>
    </row>
    <row r="136" spans="1:9" ht="43.2" x14ac:dyDescent="0.3">
      <c r="A136" s="17" t="s">
        <v>42</v>
      </c>
      <c r="B136" s="17" t="s">
        <v>24</v>
      </c>
      <c r="C136" s="17" t="s">
        <v>25</v>
      </c>
      <c r="D136" s="18">
        <v>0.7</v>
      </c>
      <c r="E136" s="17" t="s">
        <v>26</v>
      </c>
      <c r="F136" s="17" t="s">
        <v>27</v>
      </c>
      <c r="G136" s="11"/>
      <c r="H136" s="11">
        <f>D136*G136</f>
        <v>0</v>
      </c>
    </row>
    <row r="137" spans="1:9" ht="43.2" x14ac:dyDescent="0.3">
      <c r="A137" s="17" t="s">
        <v>43</v>
      </c>
      <c r="B137" s="17" t="s">
        <v>24</v>
      </c>
      <c r="C137" s="17" t="s">
        <v>25</v>
      </c>
      <c r="D137" s="18">
        <v>0.7</v>
      </c>
      <c r="E137" s="17" t="s">
        <v>26</v>
      </c>
      <c r="F137" s="17" t="s">
        <v>27</v>
      </c>
      <c r="G137" s="11"/>
      <c r="H137" s="11">
        <f t="shared" ref="H137:H147" si="0">D137*G137</f>
        <v>0</v>
      </c>
    </row>
    <row r="138" spans="1:9" ht="28.8" x14ac:dyDescent="0.3">
      <c r="A138" s="17" t="s">
        <v>44</v>
      </c>
      <c r="B138" s="17" t="s">
        <v>28</v>
      </c>
      <c r="C138" s="17" t="s">
        <v>29</v>
      </c>
      <c r="D138" s="18">
        <v>0.23</v>
      </c>
      <c r="E138" s="17" t="s">
        <v>30</v>
      </c>
      <c r="F138" s="17" t="s">
        <v>31</v>
      </c>
      <c r="G138" s="11">
        <v>96</v>
      </c>
      <c r="H138" s="11">
        <f t="shared" si="0"/>
        <v>22.080000000000002</v>
      </c>
    </row>
    <row r="139" spans="1:9" ht="43.2" x14ac:dyDescent="0.3">
      <c r="A139" s="17" t="s">
        <v>45</v>
      </c>
      <c r="B139" s="17" t="s">
        <v>24</v>
      </c>
      <c r="C139" s="17" t="s">
        <v>25</v>
      </c>
      <c r="D139" s="18">
        <v>0.7</v>
      </c>
      <c r="E139" s="17" t="s">
        <v>26</v>
      </c>
      <c r="F139" s="17" t="s">
        <v>27</v>
      </c>
      <c r="G139" s="11"/>
      <c r="H139" s="11">
        <f t="shared" si="0"/>
        <v>0</v>
      </c>
    </row>
    <row r="140" spans="1:9" ht="57.6" x14ac:dyDescent="0.3">
      <c r="A140" s="17" t="s">
        <v>46</v>
      </c>
      <c r="B140" s="17" t="s">
        <v>32</v>
      </c>
      <c r="C140" s="17" t="s">
        <v>33</v>
      </c>
      <c r="D140" s="18">
        <v>6</v>
      </c>
      <c r="E140" s="17" t="s">
        <v>30</v>
      </c>
      <c r="F140" s="17" t="s">
        <v>31</v>
      </c>
      <c r="G140" s="11">
        <v>1.85</v>
      </c>
      <c r="H140" s="11">
        <f t="shared" si="0"/>
        <v>11.100000000000001</v>
      </c>
    </row>
    <row r="141" spans="1:9" ht="28.8" x14ac:dyDescent="0.3">
      <c r="A141" s="17" t="s">
        <v>47</v>
      </c>
      <c r="B141" s="17" t="s">
        <v>34</v>
      </c>
      <c r="C141" s="17" t="s">
        <v>35</v>
      </c>
      <c r="D141" s="18">
        <v>0.25</v>
      </c>
      <c r="E141" s="17" t="s">
        <v>30</v>
      </c>
      <c r="F141" s="17" t="s">
        <v>36</v>
      </c>
      <c r="G141" s="11">
        <v>180.55</v>
      </c>
      <c r="H141" s="11">
        <f t="shared" si="0"/>
        <v>45.137500000000003</v>
      </c>
    </row>
    <row r="142" spans="1:9" ht="28.8" x14ac:dyDescent="0.3">
      <c r="A142" s="17" t="s">
        <v>48</v>
      </c>
      <c r="B142" s="17" t="s">
        <v>28</v>
      </c>
      <c r="C142" s="17" t="s">
        <v>29</v>
      </c>
      <c r="D142" s="18">
        <v>0.23</v>
      </c>
      <c r="E142" s="17" t="s">
        <v>30</v>
      </c>
      <c r="F142" s="17" t="s">
        <v>31</v>
      </c>
      <c r="G142" s="11">
        <v>96</v>
      </c>
      <c r="H142" s="11">
        <f t="shared" si="0"/>
        <v>22.080000000000002</v>
      </c>
    </row>
    <row r="143" spans="1:9" ht="28.8" x14ac:dyDescent="0.3">
      <c r="A143" s="17" t="s">
        <v>49</v>
      </c>
      <c r="B143" s="17" t="s">
        <v>28</v>
      </c>
      <c r="C143" s="17" t="s">
        <v>29</v>
      </c>
      <c r="D143" s="18">
        <v>0.23</v>
      </c>
      <c r="E143" s="17" t="s">
        <v>30</v>
      </c>
      <c r="F143" s="17" t="s">
        <v>31</v>
      </c>
      <c r="G143" s="11">
        <v>96</v>
      </c>
      <c r="H143" s="11">
        <f t="shared" si="0"/>
        <v>22.080000000000002</v>
      </c>
    </row>
    <row r="144" spans="1:9" ht="57.6" x14ac:dyDescent="0.3">
      <c r="A144" s="17" t="s">
        <v>50</v>
      </c>
      <c r="B144" s="17" t="s">
        <v>37</v>
      </c>
      <c r="C144" s="17" t="s">
        <v>38</v>
      </c>
      <c r="D144" s="18">
        <v>2</v>
      </c>
      <c r="E144" s="17" t="s">
        <v>26</v>
      </c>
      <c r="F144" s="17" t="s">
        <v>39</v>
      </c>
      <c r="G144" s="11">
        <v>19.53</v>
      </c>
      <c r="H144" s="11">
        <f t="shared" si="0"/>
        <v>39.06</v>
      </c>
    </row>
    <row r="145" spans="1:8" ht="57.6" x14ac:dyDescent="0.3">
      <c r="A145" s="17" t="s">
        <v>51</v>
      </c>
      <c r="B145" s="17" t="s">
        <v>37</v>
      </c>
      <c r="C145" s="17" t="s">
        <v>38</v>
      </c>
      <c r="D145" s="18">
        <v>2</v>
      </c>
      <c r="E145" s="17" t="s">
        <v>26</v>
      </c>
      <c r="F145" s="17" t="s">
        <v>39</v>
      </c>
      <c r="G145" s="11">
        <v>19.53</v>
      </c>
      <c r="H145" s="11">
        <f t="shared" si="0"/>
        <v>39.06</v>
      </c>
    </row>
    <row r="146" spans="1:8" ht="28.8" x14ac:dyDescent="0.3">
      <c r="A146" s="17" t="s">
        <v>52</v>
      </c>
      <c r="B146" s="17" t="s">
        <v>40</v>
      </c>
      <c r="C146" s="17" t="s">
        <v>41</v>
      </c>
      <c r="D146" s="18">
        <v>0.5</v>
      </c>
      <c r="E146" s="17" t="s">
        <v>30</v>
      </c>
      <c r="F146" s="17" t="s">
        <v>39</v>
      </c>
      <c r="G146" s="11">
        <v>8.92</v>
      </c>
      <c r="H146" s="11">
        <f t="shared" si="0"/>
        <v>4.46</v>
      </c>
    </row>
    <row r="147" spans="1:8" ht="57.6" x14ac:dyDescent="0.3">
      <c r="A147" s="17" t="s">
        <v>53</v>
      </c>
      <c r="B147" s="17" t="s">
        <v>37</v>
      </c>
      <c r="C147" s="17" t="s">
        <v>38</v>
      </c>
      <c r="D147" s="18">
        <v>2</v>
      </c>
      <c r="E147" s="17" t="s">
        <v>26</v>
      </c>
      <c r="F147" s="17" t="s">
        <v>39</v>
      </c>
      <c r="G147" s="11">
        <v>19.53</v>
      </c>
      <c r="H147" s="11">
        <f t="shared" si="0"/>
        <v>39.06</v>
      </c>
    </row>
    <row r="148" spans="1:8" x14ac:dyDescent="0.3">
      <c r="G148" s="5" t="s">
        <v>57</v>
      </c>
      <c r="H148" s="6">
        <f>SUM(H136:H147)</f>
        <v>244.11750000000004</v>
      </c>
    </row>
    <row r="151" spans="1:8" x14ac:dyDescent="0.3">
      <c r="A151" s="46"/>
    </row>
    <row r="153" spans="1:8" x14ac:dyDescent="0.3">
      <c r="A153" s="57" t="s">
        <v>147</v>
      </c>
    </row>
    <row r="155" spans="1:8" x14ac:dyDescent="0.3">
      <c r="A155" s="23" t="s">
        <v>67</v>
      </c>
      <c r="B155" s="23" t="s">
        <v>323</v>
      </c>
      <c r="C155" s="23" t="s">
        <v>214</v>
      </c>
    </row>
    <row r="156" spans="1:8" x14ac:dyDescent="0.3">
      <c r="A156" s="126" t="s">
        <v>255</v>
      </c>
      <c r="B156" s="126"/>
      <c r="C156" s="126"/>
    </row>
    <row r="157" spans="1:8" x14ac:dyDescent="0.3">
      <c r="A157" s="24" t="s">
        <v>261</v>
      </c>
      <c r="B157" s="24">
        <v>0.8</v>
      </c>
      <c r="C157" s="40">
        <v>63.65</v>
      </c>
    </row>
    <row r="158" spans="1:8" x14ac:dyDescent="0.3">
      <c r="A158" s="43" t="s">
        <v>259</v>
      </c>
      <c r="B158" s="43">
        <v>3.1</v>
      </c>
      <c r="C158" s="102">
        <v>34</v>
      </c>
    </row>
    <row r="159" spans="1:8" x14ac:dyDescent="0.3">
      <c r="A159" s="126" t="s">
        <v>256</v>
      </c>
      <c r="B159" s="126"/>
      <c r="C159" s="127"/>
    </row>
    <row r="160" spans="1:8" x14ac:dyDescent="0.3">
      <c r="A160" s="24" t="s">
        <v>261</v>
      </c>
      <c r="B160" s="24">
        <v>0.8</v>
      </c>
      <c r="C160" s="40">
        <v>63.65</v>
      </c>
    </row>
    <row r="161" spans="1:4" x14ac:dyDescent="0.3">
      <c r="A161" s="24" t="s">
        <v>258</v>
      </c>
      <c r="B161" s="24">
        <v>4.4000000000000004</v>
      </c>
      <c r="C161" s="40">
        <v>15.91</v>
      </c>
    </row>
    <row r="162" spans="1:4" x14ac:dyDescent="0.3">
      <c r="A162" s="128" t="s">
        <v>257</v>
      </c>
      <c r="B162" s="129"/>
      <c r="C162" s="130"/>
    </row>
    <row r="163" spans="1:4" x14ac:dyDescent="0.3">
      <c r="A163" s="24" t="str">
        <f>A160</f>
        <v>Gozai</v>
      </c>
      <c r="B163" s="24">
        <v>0.8</v>
      </c>
      <c r="C163" s="40">
        <v>63.65</v>
      </c>
    </row>
    <row r="165" spans="1:4" x14ac:dyDescent="0.3">
      <c r="A165" s="9" t="s">
        <v>148</v>
      </c>
      <c r="B165" s="6">
        <v>3</v>
      </c>
    </row>
    <row r="167" spans="1:4" x14ac:dyDescent="0.3">
      <c r="A167" s="9" t="s">
        <v>272</v>
      </c>
      <c r="B167" s="6">
        <v>8.42</v>
      </c>
    </row>
    <row r="168" spans="1:4" x14ac:dyDescent="0.3">
      <c r="A168" s="9" t="s">
        <v>273</v>
      </c>
      <c r="B168" s="6">
        <v>208.52</v>
      </c>
      <c r="D168" s="7"/>
    </row>
    <row r="169" spans="1:4" x14ac:dyDescent="0.3">
      <c r="A169" s="9" t="s">
        <v>142</v>
      </c>
      <c r="B169" s="37">
        <v>0.02</v>
      </c>
    </row>
    <row r="172" spans="1:4" x14ac:dyDescent="0.3">
      <c r="A172" s="5" t="s">
        <v>151</v>
      </c>
    </row>
    <row r="173" spans="1:4" x14ac:dyDescent="0.3">
      <c r="A173" s="5"/>
    </row>
    <row r="174" spans="1:4" x14ac:dyDescent="0.3">
      <c r="A174" s="11" t="s">
        <v>170</v>
      </c>
      <c r="B174" s="11">
        <v>5000</v>
      </c>
    </row>
    <row r="175" spans="1:4" x14ac:dyDescent="0.3">
      <c r="A175" s="11" t="s">
        <v>172</v>
      </c>
      <c r="B175" s="11">
        <v>5</v>
      </c>
    </row>
    <row r="176" spans="1:4" x14ac:dyDescent="0.3">
      <c r="A176" s="11" t="s">
        <v>181</v>
      </c>
      <c r="B176" s="11">
        <v>30</v>
      </c>
    </row>
    <row r="177" spans="1:2" x14ac:dyDescent="0.3">
      <c r="A177" s="11" t="s">
        <v>169</v>
      </c>
      <c r="B177" s="11">
        <v>1280</v>
      </c>
    </row>
    <row r="178" spans="1:2" x14ac:dyDescent="0.3">
      <c r="A178" s="11" t="s">
        <v>168</v>
      </c>
      <c r="B178" s="74">
        <v>0.05</v>
      </c>
    </row>
    <row r="179" spans="1:2" x14ac:dyDescent="0.3">
      <c r="A179" s="5"/>
    </row>
    <row r="180" spans="1:2" x14ac:dyDescent="0.3">
      <c r="A180" s="9" t="s">
        <v>165</v>
      </c>
      <c r="B180" s="37">
        <v>1</v>
      </c>
    </row>
    <row r="181" spans="1:2" x14ac:dyDescent="0.3">
      <c r="A181" s="72" t="s">
        <v>166</v>
      </c>
      <c r="B181" s="37"/>
    </row>
    <row r="184" spans="1:2" x14ac:dyDescent="0.3">
      <c r="A184" s="5"/>
    </row>
    <row r="187" spans="1:2" x14ac:dyDescent="0.3">
      <c r="A187" s="7"/>
    </row>
  </sheetData>
  <mergeCells count="1">
    <mergeCell ref="B6:B8"/>
  </mergeCells>
  <pageMargins left="0.7" right="0.7" top="0.75" bottom="0.75" header="0.3" footer="0.3"/>
  <pageSetup paperSize="9" orientation="portrait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17"/>
  <sheetViews>
    <sheetView topLeftCell="A49" workbookViewId="0">
      <selection activeCell="B145" sqref="B145"/>
    </sheetView>
  </sheetViews>
  <sheetFormatPr defaultRowHeight="14.4" x14ac:dyDescent="0.3"/>
  <cols>
    <col min="1" max="1" width="54.88671875" customWidth="1"/>
    <col min="2" max="2" width="22.88671875" bestFit="1" customWidth="1"/>
    <col min="3" max="3" width="24.109375" bestFit="1" customWidth="1"/>
    <col min="4" max="4" width="25.109375" bestFit="1" customWidth="1"/>
    <col min="5" max="5" width="26.44140625" bestFit="1" customWidth="1"/>
    <col min="6" max="6" width="10.6640625" customWidth="1"/>
    <col min="7" max="7" width="21.6640625" bestFit="1" customWidth="1"/>
    <col min="8" max="8" width="18" bestFit="1" customWidth="1"/>
    <col min="9" max="9" width="17.88671875" bestFit="1" customWidth="1"/>
  </cols>
  <sheetData>
    <row r="2" spans="1:4" x14ac:dyDescent="0.3">
      <c r="A2" s="53" t="s">
        <v>320</v>
      </c>
    </row>
    <row r="4" spans="1:4" x14ac:dyDescent="0.3">
      <c r="A4" s="53" t="s">
        <v>318</v>
      </c>
      <c r="B4" s="122">
        <f>(10000/algemeen!D33)*algemeen!D36*(algemeen!D26/100)</f>
        <v>27132</v>
      </c>
    </row>
    <row r="5" spans="1:4" x14ac:dyDescent="0.3">
      <c r="A5" t="s">
        <v>319</v>
      </c>
      <c r="B5">
        <f>algemeen!D36*algemeen!D34</f>
        <v>357</v>
      </c>
    </row>
    <row r="10" spans="1:4" x14ac:dyDescent="0.3">
      <c r="A10" s="38" t="s">
        <v>109</v>
      </c>
    </row>
    <row r="12" spans="1:4" x14ac:dyDescent="0.3">
      <c r="A12" s="39" t="s">
        <v>13</v>
      </c>
      <c r="B12" s="170" t="s">
        <v>106</v>
      </c>
      <c r="C12" s="170" t="s">
        <v>107</v>
      </c>
      <c r="D12" s="172" t="s">
        <v>321</v>
      </c>
    </row>
    <row r="13" spans="1:4" x14ac:dyDescent="0.3">
      <c r="A13" s="39"/>
      <c r="B13" s="171"/>
      <c r="C13" s="171"/>
      <c r="D13" s="173"/>
    </row>
    <row r="14" spans="1:4" x14ac:dyDescent="0.3">
      <c r="A14" s="26" t="s">
        <v>5</v>
      </c>
      <c r="B14" s="168">
        <f>standaardgegevens!B6*(algemeen!$D$14*standaardgegevens!$B$14)</f>
        <v>1773.8875</v>
      </c>
      <c r="C14" s="169">
        <f>(1-standaardgegevens!B14)*standaardgegevens!B6*algemeen!D15</f>
        <v>262.50000000000023</v>
      </c>
      <c r="D14" s="169">
        <f>SUM(B14:C16)</f>
        <v>2036.3875000000003</v>
      </c>
    </row>
    <row r="15" spans="1:4" x14ac:dyDescent="0.3">
      <c r="A15" s="26" t="s">
        <v>6</v>
      </c>
      <c r="B15" s="168"/>
      <c r="C15" s="166"/>
      <c r="D15" s="166"/>
    </row>
    <row r="16" spans="1:4" x14ac:dyDescent="0.3">
      <c r="A16" s="26" t="s">
        <v>64</v>
      </c>
      <c r="B16" s="168"/>
      <c r="C16" s="167"/>
      <c r="D16" s="167"/>
    </row>
    <row r="17" spans="1:4" ht="15" customHeight="1" x14ac:dyDescent="0.3">
      <c r="A17" s="26" t="s">
        <v>65</v>
      </c>
      <c r="B17" s="105">
        <f>standaardgegevens!B9*(algemeen!$D$14*standaardgegevens!$B$14)</f>
        <v>243.27600000000001</v>
      </c>
      <c r="C17" s="105">
        <f>(1-standaardgegevens!$B$14)*standaardgegevens!B9*algemeen!$D$15</f>
        <v>36.000000000000028</v>
      </c>
      <c r="D17" s="105">
        <f>SUM(B17:C17)</f>
        <v>279.27600000000007</v>
      </c>
    </row>
    <row r="18" spans="1:4" x14ac:dyDescent="0.3">
      <c r="A18" s="26" t="s">
        <v>8</v>
      </c>
      <c r="B18" s="105">
        <f>standaardgegevens!B10*(algemeen!$D$14*standaardgegevens!$B$14)</f>
        <v>1723.2049999999999</v>
      </c>
      <c r="C18" s="105">
        <f>(1-standaardgegevens!$B$14)*standaardgegevens!B10*algemeen!$D$15</f>
        <v>255.00000000000023</v>
      </c>
      <c r="D18" s="105">
        <f t="shared" ref="D18:D19" si="0">SUM(B18:C18)</f>
        <v>1978.2050000000002</v>
      </c>
    </row>
    <row r="19" spans="1:4" x14ac:dyDescent="0.3">
      <c r="A19" s="26" t="s">
        <v>10</v>
      </c>
      <c r="B19" s="105">
        <f>standaardgegevens!B11*(algemeen!$D$14*standaardgegevens!$B$14)</f>
        <v>324.36799999999999</v>
      </c>
      <c r="C19" s="105">
        <f>(1-standaardgegevens!$B$14)*standaardgegevens!B11*algemeen!$D$15</f>
        <v>48.000000000000043</v>
      </c>
      <c r="D19" s="105">
        <f t="shared" si="0"/>
        <v>372.36800000000005</v>
      </c>
    </row>
    <row r="20" spans="1:4" x14ac:dyDescent="0.3">
      <c r="B20" s="53"/>
      <c r="D20" s="108">
        <f>SUM(D14:D19)</f>
        <v>4666.2365000000009</v>
      </c>
    </row>
    <row r="21" spans="1:4" x14ac:dyDescent="0.3">
      <c r="B21" s="53"/>
      <c r="D21" s="53"/>
    </row>
    <row r="22" spans="1:4" x14ac:dyDescent="0.3">
      <c r="B22" s="53"/>
      <c r="D22" s="53"/>
    </row>
    <row r="23" spans="1:4" x14ac:dyDescent="0.3">
      <c r="A23" t="s">
        <v>262</v>
      </c>
      <c r="D23" s="92">
        <f>(standaardgegevens!B16*algemeen!D15)</f>
        <v>600</v>
      </c>
    </row>
    <row r="24" spans="1:4" x14ac:dyDescent="0.3">
      <c r="D24" s="92"/>
    </row>
    <row r="25" spans="1:4" x14ac:dyDescent="0.3">
      <c r="D25" s="92"/>
    </row>
    <row r="26" spans="1:4" x14ac:dyDescent="0.3">
      <c r="C26" s="21" t="s">
        <v>322</v>
      </c>
      <c r="D26" s="108">
        <f>D23+D20</f>
        <v>5266.2365000000009</v>
      </c>
    </row>
    <row r="27" spans="1:4" x14ac:dyDescent="0.3">
      <c r="C27" s="21"/>
      <c r="D27" s="53"/>
    </row>
    <row r="29" spans="1:4" x14ac:dyDescent="0.3">
      <c r="C29" s="45" t="s">
        <v>115</v>
      </c>
      <c r="D29" s="99">
        <f>D26/B4</f>
        <v>0.19409687822497423</v>
      </c>
    </row>
    <row r="31" spans="1:4" x14ac:dyDescent="0.3">
      <c r="A31" s="53" t="s">
        <v>156</v>
      </c>
    </row>
    <row r="32" spans="1:4" x14ac:dyDescent="0.3">
      <c r="A32" t="s">
        <v>159</v>
      </c>
      <c r="B32">
        <v>0.9</v>
      </c>
    </row>
    <row r="33" spans="1:6" x14ac:dyDescent="0.3">
      <c r="A33" s="70" t="s">
        <v>160</v>
      </c>
      <c r="B33">
        <f>(1000/algemeen!D23)*berekening!B32</f>
        <v>90</v>
      </c>
    </row>
    <row r="34" spans="1:6" x14ac:dyDescent="0.3">
      <c r="A34" s="45" t="s">
        <v>115</v>
      </c>
      <c r="B34" s="99">
        <f>algemeen!D21/berekening!B33</f>
        <v>0.81044444444444441</v>
      </c>
    </row>
    <row r="35" spans="1:6" x14ac:dyDescent="0.3">
      <c r="A35" s="69"/>
    </row>
    <row r="38" spans="1:6" x14ac:dyDescent="0.3">
      <c r="A38" s="53" t="s">
        <v>157</v>
      </c>
    </row>
    <row r="39" spans="1:6" x14ac:dyDescent="0.3">
      <c r="A39" s="53"/>
    </row>
    <row r="40" spans="1:6" x14ac:dyDescent="0.3">
      <c r="A40" t="s">
        <v>158</v>
      </c>
      <c r="B40">
        <f>algemeen!D22</f>
        <v>0.95</v>
      </c>
    </row>
    <row r="41" spans="1:6" x14ac:dyDescent="0.3">
      <c r="A41" s="45" t="s">
        <v>115</v>
      </c>
      <c r="B41" s="99">
        <f>B40*algemeen!D24</f>
        <v>1.9</v>
      </c>
    </row>
    <row r="42" spans="1:6" x14ac:dyDescent="0.3">
      <c r="A42" s="38"/>
    </row>
    <row r="43" spans="1:6" x14ac:dyDescent="0.3">
      <c r="A43" s="38"/>
    </row>
    <row r="44" spans="1:6" x14ac:dyDescent="0.3">
      <c r="A44" s="38"/>
    </row>
    <row r="45" spans="1:6" x14ac:dyDescent="0.3">
      <c r="A45" s="58"/>
      <c r="B45" s="59"/>
      <c r="C45" s="59"/>
      <c r="D45" s="59"/>
      <c r="E45" s="59"/>
      <c r="F45" s="59"/>
    </row>
    <row r="46" spans="1:6" x14ac:dyDescent="0.3">
      <c r="A46" s="60" t="s">
        <v>310</v>
      </c>
      <c r="B46" s="61"/>
      <c r="C46" s="61"/>
      <c r="D46" s="61"/>
      <c r="E46" s="61"/>
      <c r="F46" s="61"/>
    </row>
    <row r="47" spans="1:6" x14ac:dyDescent="0.3">
      <c r="A47" s="60"/>
      <c r="B47" s="61"/>
      <c r="C47" s="61"/>
      <c r="D47" s="61"/>
      <c r="E47" s="61"/>
      <c r="F47" s="61"/>
    </row>
    <row r="48" spans="1:6" x14ac:dyDescent="0.3">
      <c r="A48" s="66" t="s">
        <v>218</v>
      </c>
      <c r="B48" s="61"/>
      <c r="C48" s="61"/>
      <c r="D48" s="61"/>
      <c r="E48" s="61"/>
      <c r="F48" s="61"/>
    </row>
    <row r="49" spans="1:6" x14ac:dyDescent="0.3">
      <c r="A49" s="61" t="s">
        <v>219</v>
      </c>
      <c r="B49" s="61">
        <v>120</v>
      </c>
      <c r="C49" s="61"/>
      <c r="D49" s="61"/>
      <c r="E49" s="61"/>
      <c r="F49" s="61"/>
    </row>
    <row r="50" spans="1:6" x14ac:dyDescent="0.3">
      <c r="A50" s="61" t="s">
        <v>220</v>
      </c>
      <c r="B50" s="61">
        <f>berekening!B4</f>
        <v>27132</v>
      </c>
      <c r="C50" s="61"/>
      <c r="D50" s="61"/>
      <c r="E50" s="61"/>
      <c r="F50" s="61"/>
    </row>
    <row r="51" spans="1:6" x14ac:dyDescent="0.3">
      <c r="A51" s="61" t="s">
        <v>221</v>
      </c>
      <c r="B51" s="61">
        <f>(B50*B49)/1000</f>
        <v>3255.84</v>
      </c>
      <c r="C51" s="61"/>
      <c r="D51" s="61"/>
      <c r="E51" s="61"/>
      <c r="F51" s="61"/>
    </row>
    <row r="52" spans="1:6" x14ac:dyDescent="0.3">
      <c r="A52" s="60"/>
      <c r="B52" s="61"/>
      <c r="C52" s="61"/>
      <c r="D52" s="61"/>
      <c r="E52" s="61"/>
      <c r="F52" s="61"/>
    </row>
    <row r="53" spans="1:6" x14ac:dyDescent="0.3">
      <c r="A53" s="66" t="s">
        <v>178</v>
      </c>
      <c r="B53" s="61"/>
      <c r="C53" s="61"/>
      <c r="D53" s="61"/>
      <c r="E53" s="61"/>
      <c r="F53" s="61"/>
    </row>
    <row r="54" spans="1:6" x14ac:dyDescent="0.3">
      <c r="A54" s="60"/>
      <c r="B54" s="19" t="s">
        <v>338</v>
      </c>
      <c r="C54" s="135" t="s">
        <v>224</v>
      </c>
      <c r="D54" s="135" t="s">
        <v>179</v>
      </c>
      <c r="E54" s="61"/>
      <c r="F54" s="61"/>
    </row>
    <row r="55" spans="1:6" x14ac:dyDescent="0.3">
      <c r="A55" s="39" t="s">
        <v>174</v>
      </c>
      <c r="B55" s="29">
        <f>algemeen!C54</f>
        <v>1.5</v>
      </c>
      <c r="C55" s="98">
        <v>0.45</v>
      </c>
      <c r="D55" s="64">
        <f>C55*B55</f>
        <v>0.67500000000000004</v>
      </c>
      <c r="E55" s="61"/>
      <c r="F55" s="61"/>
    </row>
    <row r="56" spans="1:6" x14ac:dyDescent="0.3">
      <c r="A56" s="39" t="s">
        <v>175</v>
      </c>
      <c r="B56" s="29">
        <f>algemeen!C55</f>
        <v>1</v>
      </c>
      <c r="C56" s="98">
        <v>0.5</v>
      </c>
      <c r="D56" s="64">
        <f t="shared" ref="D56:D57" si="1">C56*B56</f>
        <v>0.5</v>
      </c>
      <c r="E56" s="61"/>
      <c r="F56" s="61"/>
    </row>
    <row r="57" spans="1:6" x14ac:dyDescent="0.3">
      <c r="A57" s="39" t="s">
        <v>176</v>
      </c>
      <c r="B57" s="29">
        <f>algemeen!C56</f>
        <v>3.5</v>
      </c>
      <c r="C57" s="98">
        <v>0.05</v>
      </c>
      <c r="D57" s="64">
        <f t="shared" si="1"/>
        <v>0.17500000000000002</v>
      </c>
      <c r="E57" s="61"/>
      <c r="F57" s="61"/>
    </row>
    <row r="58" spans="1:6" x14ac:dyDescent="0.3">
      <c r="A58" s="60" t="s">
        <v>233</v>
      </c>
      <c r="B58" s="61">
        <f>SUM(D55:D57)</f>
        <v>1.35</v>
      </c>
      <c r="C58" s="61"/>
      <c r="D58" s="61"/>
      <c r="E58" s="61"/>
      <c r="F58" s="61"/>
    </row>
    <row r="59" spans="1:6" x14ac:dyDescent="0.3">
      <c r="A59" s="60"/>
      <c r="B59" s="61"/>
      <c r="C59" s="61"/>
      <c r="D59" s="61"/>
      <c r="E59" s="61"/>
      <c r="F59" s="61"/>
    </row>
    <row r="60" spans="1:6" x14ac:dyDescent="0.3">
      <c r="A60" s="60" t="s">
        <v>232</v>
      </c>
      <c r="B60" s="61">
        <f>B58*B51</f>
        <v>4395.3840000000009</v>
      </c>
      <c r="C60" s="61"/>
      <c r="D60" s="61"/>
      <c r="E60" s="61"/>
      <c r="F60" s="61"/>
    </row>
    <row r="61" spans="1:6" x14ac:dyDescent="0.3">
      <c r="A61" s="60"/>
      <c r="B61" s="61"/>
      <c r="C61" s="61"/>
      <c r="D61" s="61"/>
      <c r="E61" s="61"/>
      <c r="F61" s="61"/>
    </row>
    <row r="62" spans="1:6" x14ac:dyDescent="0.3">
      <c r="A62" s="45" t="s">
        <v>115</v>
      </c>
      <c r="B62" s="115">
        <f>B60/B4</f>
        <v>0.16200000000000003</v>
      </c>
      <c r="C62" s="61"/>
      <c r="D62" s="61"/>
      <c r="E62" s="61"/>
      <c r="F62" s="61"/>
    </row>
    <row r="63" spans="1:6" x14ac:dyDescent="0.3">
      <c r="A63" s="60"/>
      <c r="B63" s="61"/>
      <c r="C63" s="61"/>
      <c r="D63" s="61"/>
      <c r="E63" s="61"/>
      <c r="F63" s="61"/>
    </row>
    <row r="64" spans="1:6" x14ac:dyDescent="0.3">
      <c r="A64" s="66" t="s">
        <v>193</v>
      </c>
      <c r="B64" s="61"/>
      <c r="C64" s="61"/>
      <c r="D64" s="61"/>
      <c r="E64" s="61"/>
      <c r="F64" s="61"/>
    </row>
    <row r="65" spans="1:8" x14ac:dyDescent="0.3">
      <c r="A65" s="67"/>
      <c r="B65" s="61"/>
      <c r="C65" s="61"/>
      <c r="D65" s="61"/>
      <c r="E65" s="61"/>
      <c r="F65" s="61"/>
    </row>
    <row r="66" spans="1:8" x14ac:dyDescent="0.3">
      <c r="A66" s="61" t="s">
        <v>206</v>
      </c>
      <c r="B66" s="61" t="s">
        <v>215</v>
      </c>
      <c r="C66" s="61" t="s">
        <v>222</v>
      </c>
      <c r="D66" s="61"/>
      <c r="E66" s="61"/>
      <c r="F66" s="61"/>
    </row>
    <row r="67" spans="1:8" x14ac:dyDescent="0.3">
      <c r="A67" s="67"/>
      <c r="B67" s="61"/>
      <c r="C67" s="61"/>
      <c r="D67" s="61"/>
      <c r="E67" s="61"/>
      <c r="F67" s="61"/>
    </row>
    <row r="68" spans="1:8" x14ac:dyDescent="0.3">
      <c r="A68" s="67" t="s">
        <v>194</v>
      </c>
      <c r="B68" s="61"/>
      <c r="C68" s="61"/>
      <c r="D68" s="61"/>
      <c r="E68" s="61"/>
      <c r="F68" s="61"/>
    </row>
    <row r="69" spans="1:8" x14ac:dyDescent="0.3">
      <c r="A69" s="67"/>
      <c r="B69" s="137" t="s">
        <v>267</v>
      </c>
      <c r="C69" s="138" t="s">
        <v>205</v>
      </c>
      <c r="D69" s="138" t="s">
        <v>213</v>
      </c>
      <c r="E69" s="138" t="s">
        <v>192</v>
      </c>
      <c r="F69" s="138" t="s">
        <v>214</v>
      </c>
      <c r="G69" s="138" t="s">
        <v>216</v>
      </c>
      <c r="H69" s="138" t="s">
        <v>217</v>
      </c>
    </row>
    <row r="70" spans="1:8" x14ac:dyDescent="0.3">
      <c r="A70" s="53" t="s">
        <v>195</v>
      </c>
      <c r="B70" s="78" t="s">
        <v>196</v>
      </c>
      <c r="C70" s="87">
        <v>58.957264957264961</v>
      </c>
      <c r="D70" s="65">
        <v>1.5</v>
      </c>
      <c r="E70" s="94">
        <f>standaardgegevens!C42</f>
        <v>0.20910000000000001</v>
      </c>
      <c r="F70" s="94">
        <f>D70*E70</f>
        <v>0.31364999999999998</v>
      </c>
      <c r="G70" s="88">
        <f>C70*F70</f>
        <v>18.491946153846154</v>
      </c>
      <c r="H70" s="88"/>
    </row>
    <row r="71" spans="1:8" x14ac:dyDescent="0.3">
      <c r="A71" s="53"/>
      <c r="B71" s="78" t="s">
        <v>197</v>
      </c>
      <c r="C71" s="87">
        <v>34.385777777777783</v>
      </c>
      <c r="D71" s="65">
        <v>1.35</v>
      </c>
      <c r="E71" s="94">
        <f>standaardgegevens!C43</f>
        <v>0.19259999999999999</v>
      </c>
      <c r="F71" s="94">
        <f t="shared" ref="F71:F76" si="2">D71*E71</f>
        <v>0.26001000000000002</v>
      </c>
      <c r="G71" s="88">
        <f t="shared" ref="G71:G76" si="3">C71*F71</f>
        <v>8.9406460800000023</v>
      </c>
      <c r="H71" s="139">
        <f>SUM(G70:G72)</f>
        <v>30.241061285168087</v>
      </c>
    </row>
    <row r="72" spans="1:8" x14ac:dyDescent="0.3">
      <c r="A72" s="80"/>
      <c r="B72" s="81" t="s">
        <v>198</v>
      </c>
      <c r="C72" s="82">
        <v>9.7877890934631022</v>
      </c>
      <c r="D72" s="63">
        <v>1.24</v>
      </c>
      <c r="E72" s="94">
        <f>standaardgegevens!C44</f>
        <v>0.23139999999999999</v>
      </c>
      <c r="F72" s="95">
        <f t="shared" si="2"/>
        <v>0.28693599999999997</v>
      </c>
      <c r="G72" s="89">
        <f t="shared" si="3"/>
        <v>2.8084690513219286</v>
      </c>
      <c r="H72" s="90"/>
    </row>
    <row r="73" spans="1:8" x14ac:dyDescent="0.3">
      <c r="A73" s="53" t="s">
        <v>199</v>
      </c>
      <c r="B73" s="78" t="s">
        <v>200</v>
      </c>
      <c r="C73" s="79">
        <v>23.276623376623363</v>
      </c>
      <c r="D73" s="61">
        <v>1.32</v>
      </c>
      <c r="E73" s="94">
        <f>standaardgegevens!C45</f>
        <v>0.2349</v>
      </c>
      <c r="F73" s="96">
        <f t="shared" si="2"/>
        <v>0.31006800000000001</v>
      </c>
      <c r="G73">
        <f t="shared" si="3"/>
        <v>7.2173360571428526</v>
      </c>
      <c r="H73" s="91"/>
    </row>
    <row r="74" spans="1:8" x14ac:dyDescent="0.3">
      <c r="B74" s="78" t="s">
        <v>201</v>
      </c>
      <c r="C74" s="79">
        <v>43.969696969696969</v>
      </c>
      <c r="D74" s="61">
        <v>1.32</v>
      </c>
      <c r="E74" s="94">
        <f>standaardgegevens!C46</f>
        <v>0.18770000000000001</v>
      </c>
      <c r="F74" s="96">
        <f t="shared" si="2"/>
        <v>0.24776400000000001</v>
      </c>
      <c r="G74">
        <f t="shared" si="3"/>
        <v>10.894108000000001</v>
      </c>
      <c r="H74" s="91"/>
    </row>
    <row r="75" spans="1:8" x14ac:dyDescent="0.3">
      <c r="B75" s="78" t="s">
        <v>202</v>
      </c>
      <c r="C75" s="79">
        <v>20.763153080441217</v>
      </c>
      <c r="D75" s="61">
        <v>1.45</v>
      </c>
      <c r="E75" s="94">
        <f>standaardgegevens!C47</f>
        <v>0.72140000000000004</v>
      </c>
      <c r="F75" s="96">
        <f t="shared" si="2"/>
        <v>1.04603</v>
      </c>
      <c r="G75">
        <f t="shared" si="3"/>
        <v>21.718881016733928</v>
      </c>
      <c r="H75" s="108">
        <f>SUM(G73:G76)</f>
        <v>63.774825073876777</v>
      </c>
    </row>
    <row r="76" spans="1:8" ht="15" thickBot="1" x14ac:dyDescent="0.35">
      <c r="A76" s="83"/>
      <c r="B76" s="84" t="s">
        <v>203</v>
      </c>
      <c r="C76" s="85">
        <v>19.953051643192488</v>
      </c>
      <c r="D76" s="61">
        <v>1.42</v>
      </c>
      <c r="E76" s="94">
        <f>standaardgegevens!C48</f>
        <v>0.84509999999999996</v>
      </c>
      <c r="F76" s="96">
        <f t="shared" si="2"/>
        <v>1.2000419999999998</v>
      </c>
      <c r="G76">
        <f t="shared" si="3"/>
        <v>23.944499999999998</v>
      </c>
    </row>
    <row r="77" spans="1:8" x14ac:dyDescent="0.3">
      <c r="A77" s="60"/>
      <c r="B77" s="61"/>
      <c r="C77" s="61"/>
      <c r="D77" s="61"/>
      <c r="E77" s="61"/>
      <c r="F77" s="61"/>
    </row>
    <row r="78" spans="1:8" x14ac:dyDescent="0.3">
      <c r="A78" s="67" t="s">
        <v>204</v>
      </c>
      <c r="B78" s="61"/>
      <c r="C78" s="61"/>
      <c r="D78" s="61"/>
      <c r="E78" s="61" t="s">
        <v>260</v>
      </c>
      <c r="F78" s="61" t="s">
        <v>214</v>
      </c>
    </row>
    <row r="79" spans="1:8" x14ac:dyDescent="0.3">
      <c r="A79" s="60"/>
      <c r="B79" s="86" t="s">
        <v>207</v>
      </c>
      <c r="C79" s="61">
        <v>0.42114659999999998</v>
      </c>
      <c r="D79" s="61"/>
      <c r="E79" s="112">
        <f>standaardgegevens!C50</f>
        <v>54.5</v>
      </c>
      <c r="F79" s="96">
        <f>E79/20</f>
        <v>2.7250000000000001</v>
      </c>
      <c r="G79">
        <f>C79*F79</f>
        <v>1.1476244849999999</v>
      </c>
      <c r="H79" s="108">
        <f>SUM(G79:G84)</f>
        <v>2.5908020717000002</v>
      </c>
    </row>
    <row r="80" spans="1:8" x14ac:dyDescent="0.3">
      <c r="A80" s="60"/>
      <c r="B80" s="86" t="s">
        <v>208</v>
      </c>
      <c r="C80" s="61">
        <v>0.1606687</v>
      </c>
      <c r="D80" s="61"/>
      <c r="E80" s="112">
        <f>standaardgegevens!C51</f>
        <v>112.62</v>
      </c>
      <c r="F80" s="96">
        <f t="shared" ref="F80:F84" si="4">E80/20</f>
        <v>5.6310000000000002</v>
      </c>
      <c r="G80">
        <f t="shared" ref="G80:G84" si="5">C80*F80</f>
        <v>0.90472544970000002</v>
      </c>
    </row>
    <row r="81" spans="1:7" x14ac:dyDescent="0.3">
      <c r="A81" s="60"/>
      <c r="B81" s="86" t="s">
        <v>209</v>
      </c>
      <c r="C81" s="61">
        <v>4.1779299999999998E-2</v>
      </c>
      <c r="D81" s="61"/>
      <c r="E81" s="112">
        <f>standaardgegevens!C52</f>
        <v>121</v>
      </c>
      <c r="F81" s="96">
        <f t="shared" si="4"/>
        <v>6.05</v>
      </c>
      <c r="G81">
        <f t="shared" si="5"/>
        <v>0.252764765</v>
      </c>
    </row>
    <row r="82" spans="1:7" x14ac:dyDescent="0.3">
      <c r="A82" s="60"/>
      <c r="B82" s="86" t="s">
        <v>210</v>
      </c>
      <c r="C82" s="61">
        <v>1.9906199999999999E-2</v>
      </c>
      <c r="D82" s="61"/>
      <c r="E82" s="112">
        <f>standaardgegevens!C53</f>
        <v>44</v>
      </c>
      <c r="F82" s="96">
        <f t="shared" si="4"/>
        <v>2.2000000000000002</v>
      </c>
      <c r="G82">
        <f t="shared" si="5"/>
        <v>4.3793640000000002E-2</v>
      </c>
    </row>
    <row r="83" spans="1:7" x14ac:dyDescent="0.3">
      <c r="A83" s="60"/>
      <c r="B83" s="86" t="s">
        <v>211</v>
      </c>
      <c r="C83" s="61">
        <v>5.8022700000000003E-2</v>
      </c>
      <c r="D83" s="61"/>
      <c r="E83" s="112">
        <f>standaardgegevens!C54</f>
        <v>43.2</v>
      </c>
      <c r="F83" s="96">
        <f t="shared" si="4"/>
        <v>2.16</v>
      </c>
      <c r="G83">
        <f t="shared" si="5"/>
        <v>0.12532903200000001</v>
      </c>
    </row>
    <row r="84" spans="1:7" x14ac:dyDescent="0.3">
      <c r="A84" s="60"/>
      <c r="B84" s="86" t="s">
        <v>212</v>
      </c>
      <c r="C84" s="61">
        <v>4.4405600000000003E-2</v>
      </c>
      <c r="D84" s="61"/>
      <c r="E84" s="112">
        <f>standaardgegevens!C55</f>
        <v>52.5</v>
      </c>
      <c r="F84" s="96">
        <f t="shared" si="4"/>
        <v>2.625</v>
      </c>
      <c r="G84">
        <f t="shared" si="5"/>
        <v>0.11656470000000001</v>
      </c>
    </row>
    <row r="85" spans="1:7" x14ac:dyDescent="0.3">
      <c r="A85" s="60"/>
      <c r="B85" s="86"/>
      <c r="C85" s="61"/>
      <c r="D85" s="61"/>
      <c r="E85" s="61"/>
      <c r="F85" s="61"/>
    </row>
    <row r="86" spans="1:7" x14ac:dyDescent="0.3">
      <c r="A86" s="61" t="s">
        <v>223</v>
      </c>
      <c r="B86" s="65">
        <f>B51/100</f>
        <v>32.558399999999999</v>
      </c>
      <c r="C86" s="61"/>
      <c r="D86" s="61"/>
      <c r="E86" s="61"/>
      <c r="F86" s="61"/>
    </row>
    <row r="87" spans="1:7" x14ac:dyDescent="0.3">
      <c r="A87" s="65" t="s">
        <v>344</v>
      </c>
      <c r="B87" s="93">
        <f>B86*(H75+H71+H79)</f>
        <v>3145.3592046035633</v>
      </c>
      <c r="C87" s="61"/>
      <c r="D87" s="61"/>
      <c r="E87" s="61"/>
      <c r="F87" s="61"/>
    </row>
    <row r="88" spans="1:7" x14ac:dyDescent="0.3">
      <c r="A88" s="65"/>
      <c r="B88" s="93"/>
      <c r="C88" s="61"/>
      <c r="D88" s="61"/>
      <c r="E88" s="61"/>
      <c r="F88" s="61"/>
    </row>
    <row r="89" spans="1:7" x14ac:dyDescent="0.3">
      <c r="A89" s="45" t="s">
        <v>234</v>
      </c>
      <c r="B89" s="103">
        <f>B87/B4</f>
        <v>0.11592802611689383</v>
      </c>
      <c r="C89" s="61"/>
      <c r="D89" s="61"/>
      <c r="E89" s="61"/>
      <c r="F89" s="61"/>
    </row>
    <row r="90" spans="1:7" x14ac:dyDescent="0.3">
      <c r="A90" s="60"/>
      <c r="B90" s="86"/>
      <c r="C90" s="61"/>
      <c r="D90" s="61"/>
      <c r="E90" s="61"/>
      <c r="F90" s="61"/>
    </row>
    <row r="91" spans="1:7" x14ac:dyDescent="0.3">
      <c r="A91" s="67" t="s">
        <v>228</v>
      </c>
      <c r="B91" s="86"/>
      <c r="C91" s="61"/>
      <c r="D91" s="61"/>
      <c r="E91" s="61"/>
      <c r="F91" s="61"/>
    </row>
    <row r="92" spans="1:7" x14ac:dyDescent="0.3">
      <c r="A92" s="60"/>
      <c r="B92" s="86"/>
      <c r="C92" s="61"/>
      <c r="D92" s="61"/>
      <c r="E92" s="61"/>
      <c r="F92" s="61"/>
    </row>
    <row r="93" spans="1:7" x14ac:dyDescent="0.3">
      <c r="A93" s="64" t="s">
        <v>227</v>
      </c>
      <c r="B93" s="64">
        <f>(algemeen!C48)/(algemeen!C46*algemeen!C47)</f>
        <v>600</v>
      </c>
      <c r="C93" s="61"/>
      <c r="D93" s="61"/>
      <c r="E93" s="61"/>
      <c r="F93" s="61"/>
    </row>
    <row r="94" spans="1:7" x14ac:dyDescent="0.3">
      <c r="A94" s="64" t="s">
        <v>138</v>
      </c>
      <c r="B94" s="64">
        <f>(B93*(60/5))/60</f>
        <v>120</v>
      </c>
      <c r="C94" s="61"/>
      <c r="D94" s="61"/>
      <c r="E94" s="61"/>
      <c r="F94" s="61"/>
    </row>
    <row r="95" spans="1:7" x14ac:dyDescent="0.3">
      <c r="A95" s="64" t="s">
        <v>231</v>
      </c>
      <c r="B95" s="97">
        <f>(B94*algemeen!C49)*algemeen!D18</f>
        <v>165</v>
      </c>
      <c r="C95" s="61"/>
      <c r="D95" s="61"/>
      <c r="E95" s="61"/>
      <c r="F95" s="61"/>
    </row>
    <row r="96" spans="1:7" x14ac:dyDescent="0.3">
      <c r="A96" s="65"/>
      <c r="B96" s="93"/>
      <c r="C96" s="61"/>
      <c r="D96" s="61"/>
      <c r="E96" s="61"/>
      <c r="F96" s="61"/>
    </row>
    <row r="97" spans="1:6" x14ac:dyDescent="0.3">
      <c r="A97" s="60"/>
      <c r="B97" s="61"/>
      <c r="C97" s="61"/>
      <c r="D97" s="61"/>
      <c r="E97" s="61"/>
      <c r="F97" s="61"/>
    </row>
    <row r="98" spans="1:6" x14ac:dyDescent="0.3">
      <c r="A98" s="62" t="s">
        <v>337</v>
      </c>
      <c r="B98" s="61"/>
      <c r="C98" s="61"/>
      <c r="D98" s="61"/>
      <c r="E98" s="61"/>
      <c r="F98" s="61"/>
    </row>
    <row r="99" spans="1:6" x14ac:dyDescent="0.3">
      <c r="A99" s="62"/>
      <c r="B99" s="61"/>
      <c r="C99" s="61"/>
      <c r="D99" s="61"/>
      <c r="E99" s="61"/>
      <c r="F99" s="61"/>
    </row>
    <row r="100" spans="1:6" x14ac:dyDescent="0.3">
      <c r="C100" s="61"/>
      <c r="D100" s="61"/>
      <c r="E100" s="61"/>
      <c r="F100" s="61"/>
    </row>
    <row r="101" spans="1:6" x14ac:dyDescent="0.3">
      <c r="A101" s="29" t="s">
        <v>236</v>
      </c>
      <c r="B101" s="113">
        <f>B87</f>
        <v>3145.3592046035633</v>
      </c>
      <c r="C101" s="61"/>
      <c r="D101" s="61"/>
      <c r="E101" s="61"/>
      <c r="F101" s="61"/>
    </row>
    <row r="102" spans="1:6" x14ac:dyDescent="0.3">
      <c r="A102" s="64" t="s">
        <v>235</v>
      </c>
      <c r="B102" s="97">
        <f>B60</f>
        <v>4395.3840000000009</v>
      </c>
      <c r="C102" s="61"/>
      <c r="D102" s="61"/>
      <c r="E102" s="61"/>
      <c r="F102" s="61"/>
    </row>
    <row r="103" spans="1:6" x14ac:dyDescent="0.3">
      <c r="A103" s="64" t="s">
        <v>229</v>
      </c>
      <c r="B103" s="113">
        <f>B95</f>
        <v>165</v>
      </c>
      <c r="C103" s="61"/>
      <c r="D103" s="61"/>
      <c r="E103" s="61"/>
      <c r="F103" s="61"/>
    </row>
    <row r="104" spans="1:6" x14ac:dyDescent="0.3">
      <c r="A104" s="65"/>
      <c r="B104" s="92"/>
      <c r="C104" s="61"/>
      <c r="D104" s="61"/>
      <c r="E104" s="61"/>
      <c r="F104" s="61"/>
    </row>
    <row r="105" spans="1:6" x14ac:dyDescent="0.3">
      <c r="A105" s="21" t="s">
        <v>230</v>
      </c>
      <c r="B105" s="92">
        <f>SUM(B101:B103)</f>
        <v>7705.7432046035647</v>
      </c>
      <c r="C105" s="61"/>
      <c r="D105" s="61"/>
      <c r="E105" s="61"/>
      <c r="F105" s="61"/>
    </row>
    <row r="106" spans="1:6" x14ac:dyDescent="0.3">
      <c r="A106" s="65"/>
      <c r="B106" s="65"/>
      <c r="C106" s="61"/>
      <c r="D106" s="61"/>
      <c r="E106" s="61"/>
      <c r="F106" s="61"/>
    </row>
    <row r="107" spans="1:6" x14ac:dyDescent="0.3">
      <c r="A107" s="45" t="s">
        <v>180</v>
      </c>
      <c r="B107" s="103">
        <f>B105/B4</f>
        <v>0.28400940603728309</v>
      </c>
      <c r="C107" s="61"/>
      <c r="D107" s="61"/>
      <c r="E107" s="61"/>
      <c r="F107" s="61"/>
    </row>
    <row r="108" spans="1:6" x14ac:dyDescent="0.3">
      <c r="A108" s="62"/>
      <c r="B108" s="65"/>
      <c r="C108" s="61"/>
      <c r="D108" s="61"/>
      <c r="E108" s="61"/>
      <c r="F108" s="61"/>
    </row>
    <row r="109" spans="1:6" x14ac:dyDescent="0.3">
      <c r="A109" s="62"/>
      <c r="B109" s="65"/>
      <c r="C109" s="61"/>
      <c r="D109" s="61"/>
      <c r="E109" s="61"/>
      <c r="F109" s="61"/>
    </row>
    <row r="110" spans="1:6" x14ac:dyDescent="0.3">
      <c r="A110" s="62"/>
      <c r="B110" s="65"/>
      <c r="C110" s="61"/>
      <c r="D110" s="61"/>
      <c r="E110" s="61"/>
      <c r="F110" s="61"/>
    </row>
    <row r="111" spans="1:6" x14ac:dyDescent="0.3">
      <c r="A111" s="136" t="s">
        <v>309</v>
      </c>
      <c r="B111" s="65"/>
      <c r="C111" s="61"/>
      <c r="D111" s="61"/>
      <c r="E111" s="61"/>
      <c r="F111" s="61"/>
    </row>
    <row r="112" spans="1:6" x14ac:dyDescent="0.3">
      <c r="A112" s="61"/>
      <c r="B112" s="61"/>
      <c r="C112" s="61"/>
      <c r="D112" s="61"/>
      <c r="E112" s="61"/>
      <c r="F112" s="61"/>
    </row>
    <row r="113" spans="1:6" x14ac:dyDescent="0.3">
      <c r="A113" s="66" t="s">
        <v>339</v>
      </c>
      <c r="E113" s="61"/>
      <c r="F113" s="61"/>
    </row>
    <row r="114" spans="1:6" x14ac:dyDescent="0.3">
      <c r="A114" s="67"/>
      <c r="B114" s="135" t="s">
        <v>75</v>
      </c>
      <c r="C114" s="135" t="s">
        <v>76</v>
      </c>
      <c r="D114" s="135" t="s">
        <v>149</v>
      </c>
      <c r="E114" s="61"/>
      <c r="F114" s="61"/>
    </row>
    <row r="115" spans="1:6" x14ac:dyDescent="0.3">
      <c r="A115" s="64" t="s">
        <v>342</v>
      </c>
      <c r="B115" s="64">
        <f>585.7/1600</f>
        <v>0.36606250000000001</v>
      </c>
      <c r="C115" s="64">
        <v>5</v>
      </c>
      <c r="D115" s="134">
        <f>B115/C115</f>
        <v>7.32125E-2</v>
      </c>
      <c r="E115" s="61"/>
      <c r="F115" s="61"/>
    </row>
    <row r="116" spans="1:6" x14ac:dyDescent="0.3">
      <c r="A116" s="64" t="s">
        <v>343</v>
      </c>
      <c r="B116" s="64">
        <v>0.33600000000000002</v>
      </c>
      <c r="C116" s="64">
        <v>5</v>
      </c>
      <c r="D116" s="134">
        <f>IF(algemeen!C46=2,berekening!B116/berekening!C116,0)</f>
        <v>6.720000000000001E-2</v>
      </c>
      <c r="E116" s="61"/>
      <c r="F116" s="61"/>
    </row>
    <row r="117" spans="1:6" x14ac:dyDescent="0.3">
      <c r="A117" s="64" t="s">
        <v>150</v>
      </c>
      <c r="B117" s="64">
        <v>2.0299999999999998</v>
      </c>
      <c r="C117" s="64">
        <v>10</v>
      </c>
      <c r="D117" s="134">
        <f>((B117*3.75*algemeen!D35)/C117)/B5</f>
        <v>8.5294117647058812E-2</v>
      </c>
      <c r="E117" s="61"/>
      <c r="F117" s="61"/>
    </row>
    <row r="118" spans="1:6" x14ac:dyDescent="0.3">
      <c r="A118" s="64" t="s">
        <v>145</v>
      </c>
      <c r="B118" s="64">
        <v>1000</v>
      </c>
      <c r="C118" s="64">
        <v>10</v>
      </c>
      <c r="D118" s="134">
        <f>(B118/C118)/B4</f>
        <v>3.6856848002358839E-3</v>
      </c>
      <c r="E118" s="61"/>
      <c r="F118" s="61"/>
    </row>
    <row r="119" spans="1:6" x14ac:dyDescent="0.3">
      <c r="A119" s="64" t="s">
        <v>143</v>
      </c>
      <c r="B119" s="64">
        <v>2.83</v>
      </c>
      <c r="C119" s="64">
        <v>10</v>
      </c>
      <c r="D119" s="134">
        <f>((B119/C119)*algemeen!D35)/B5</f>
        <v>3.1708683473389357E-2</v>
      </c>
      <c r="E119" s="61"/>
      <c r="F119" s="61"/>
    </row>
    <row r="120" spans="1:6" x14ac:dyDescent="0.3">
      <c r="A120" s="65"/>
      <c r="B120" s="65"/>
      <c r="C120" s="65"/>
      <c r="D120" s="61"/>
      <c r="E120" s="61"/>
      <c r="F120" s="61"/>
    </row>
    <row r="121" spans="1:6" x14ac:dyDescent="0.3">
      <c r="A121" s="65" t="s">
        <v>142</v>
      </c>
      <c r="B121" s="68">
        <f>standaardgegevens!B66</f>
        <v>0.1</v>
      </c>
      <c r="C121" s="65"/>
      <c r="D121" s="96">
        <f>SUM(D115:D119)*B121</f>
        <v>2.6110098592068406E-2</v>
      </c>
      <c r="E121" s="61"/>
      <c r="F121" s="61"/>
    </row>
    <row r="122" spans="1:6" x14ac:dyDescent="0.3">
      <c r="A122" s="59"/>
      <c r="B122" s="59"/>
      <c r="C122" s="59"/>
      <c r="D122" s="59"/>
      <c r="E122" s="59"/>
      <c r="F122" s="59"/>
    </row>
    <row r="123" spans="1:6" x14ac:dyDescent="0.3">
      <c r="C123" s="45" t="s">
        <v>115</v>
      </c>
      <c r="D123" s="99">
        <f>SUM(D115:D121)</f>
        <v>0.28721108451275246</v>
      </c>
    </row>
    <row r="124" spans="1:6" x14ac:dyDescent="0.3">
      <c r="D124" s="99"/>
    </row>
    <row r="125" spans="1:6" x14ac:dyDescent="0.3">
      <c r="D125" s="99"/>
    </row>
    <row r="126" spans="1:6" x14ac:dyDescent="0.3">
      <c r="A126" s="38" t="s">
        <v>334</v>
      </c>
      <c r="D126" s="99"/>
    </row>
    <row r="127" spans="1:6" x14ac:dyDescent="0.3">
      <c r="D127" s="99"/>
    </row>
    <row r="128" spans="1:6" x14ac:dyDescent="0.3">
      <c r="A128" s="21" t="s">
        <v>230</v>
      </c>
      <c r="B128">
        <f>IF(algemeen!C50="ja",algemeen!C51,0)</f>
        <v>0</v>
      </c>
      <c r="D128" s="99"/>
    </row>
    <row r="129" spans="1:5" x14ac:dyDescent="0.3">
      <c r="A129" s="65"/>
      <c r="D129" s="99"/>
    </row>
    <row r="130" spans="1:5" x14ac:dyDescent="0.3">
      <c r="A130" s="45" t="s">
        <v>180</v>
      </c>
      <c r="B130">
        <f>B128/B4</f>
        <v>0</v>
      </c>
      <c r="D130" s="99"/>
    </row>
    <row r="131" spans="1:5" x14ac:dyDescent="0.3">
      <c r="D131" s="99"/>
    </row>
    <row r="132" spans="1:5" x14ac:dyDescent="0.3">
      <c r="D132" s="99"/>
    </row>
    <row r="133" spans="1:5" x14ac:dyDescent="0.3">
      <c r="A133" s="133" t="s">
        <v>335</v>
      </c>
      <c r="D133" s="99"/>
    </row>
    <row r="134" spans="1:5" x14ac:dyDescent="0.3">
      <c r="A134" s="65"/>
      <c r="D134" s="99"/>
    </row>
    <row r="135" spans="1:5" x14ac:dyDescent="0.3">
      <c r="A135" s="45" t="s">
        <v>180</v>
      </c>
      <c r="B135" s="99">
        <f>D123+B130</f>
        <v>0.28721108451275246</v>
      </c>
      <c r="D135" s="99"/>
    </row>
    <row r="136" spans="1:5" x14ac:dyDescent="0.3">
      <c r="D136" s="99"/>
    </row>
    <row r="138" spans="1:5" x14ac:dyDescent="0.3">
      <c r="A138" s="38" t="s">
        <v>270</v>
      </c>
    </row>
    <row r="140" spans="1:5" x14ac:dyDescent="0.3">
      <c r="A140" s="27"/>
      <c r="B140" s="44" t="s">
        <v>60</v>
      </c>
      <c r="C140" s="42" t="s">
        <v>61</v>
      </c>
      <c r="D140" s="42" t="s">
        <v>62</v>
      </c>
      <c r="E140" s="42" t="s">
        <v>63</v>
      </c>
    </row>
    <row r="141" spans="1:5" x14ac:dyDescent="0.3">
      <c r="A141" s="43" t="s">
        <v>21</v>
      </c>
      <c r="B141" s="142">
        <v>0.72</v>
      </c>
      <c r="C141" s="26">
        <f>1/algemeen!D34</f>
        <v>0.02</v>
      </c>
      <c r="D141" s="26">
        <v>10</v>
      </c>
      <c r="E141" s="141">
        <f>(B141*C141)/D141</f>
        <v>1.4399999999999999E-3</v>
      </c>
    </row>
    <row r="142" spans="1:5" x14ac:dyDescent="0.3">
      <c r="A142" s="43" t="s">
        <v>20</v>
      </c>
      <c r="B142" s="142">
        <v>2.84</v>
      </c>
      <c r="C142" s="26">
        <f>2/algemeen!D34</f>
        <v>0.04</v>
      </c>
      <c r="D142" s="26">
        <v>10</v>
      </c>
      <c r="E142" s="141">
        <f t="shared" ref="E142:E149" si="6">(B142*C142)/D142</f>
        <v>1.1359999999999999E-2</v>
      </c>
    </row>
    <row r="143" spans="1:5" x14ac:dyDescent="0.3">
      <c r="A143" s="26" t="s">
        <v>108</v>
      </c>
      <c r="B143" s="142">
        <f>standaardgegevens!B74</f>
        <v>6.82</v>
      </c>
      <c r="C143" s="26">
        <f>berekening!B143/algemeen!D37</f>
        <v>0.85250000000000004</v>
      </c>
      <c r="D143" s="26">
        <v>10</v>
      </c>
      <c r="E143" s="141">
        <f t="shared" si="6"/>
        <v>0.58140500000000006</v>
      </c>
    </row>
    <row r="144" spans="1:5" x14ac:dyDescent="0.3">
      <c r="A144" s="26" t="s">
        <v>22</v>
      </c>
      <c r="B144" s="142">
        <f>standaardgegevens!B75/825</f>
        <v>6.3648484848484843E-2</v>
      </c>
      <c r="C144" s="26">
        <f>algemeen!D38</f>
        <v>2</v>
      </c>
      <c r="D144" s="26">
        <v>10</v>
      </c>
      <c r="E144" s="141">
        <f t="shared" si="6"/>
        <v>1.2729696969696969E-2</v>
      </c>
    </row>
    <row r="145" spans="1:5" x14ac:dyDescent="0.3">
      <c r="A145" s="26" t="s">
        <v>80</v>
      </c>
      <c r="B145" s="142">
        <v>0.38</v>
      </c>
      <c r="C145" s="26">
        <v>1</v>
      </c>
      <c r="D145" s="26">
        <v>10</v>
      </c>
      <c r="E145" s="141">
        <f t="shared" si="6"/>
        <v>3.7999999999999999E-2</v>
      </c>
    </row>
    <row r="146" spans="1:5" x14ac:dyDescent="0.3">
      <c r="A146" s="40" t="s">
        <v>111</v>
      </c>
      <c r="B146" s="142">
        <v>0.495</v>
      </c>
      <c r="C146" s="26">
        <v>1</v>
      </c>
      <c r="D146" s="26">
        <v>10</v>
      </c>
      <c r="E146" s="141">
        <f t="shared" si="6"/>
        <v>4.9500000000000002E-2</v>
      </c>
    </row>
    <row r="147" spans="1:5" x14ac:dyDescent="0.3">
      <c r="A147" s="40" t="s">
        <v>99</v>
      </c>
      <c r="B147" s="142">
        <f>standaardgegevens!B78/50</f>
        <v>0.17899999999999999</v>
      </c>
      <c r="C147" s="26">
        <v>1</v>
      </c>
      <c r="D147" s="26">
        <v>10</v>
      </c>
      <c r="E147" s="141">
        <f>(B147*C147)/D147</f>
        <v>1.7899999999999999E-2</v>
      </c>
    </row>
    <row r="148" spans="1:5" x14ac:dyDescent="0.3">
      <c r="A148" s="40" t="str">
        <f>standaardgegevens!A79</f>
        <v>Graszaad (20 kg/ha)</v>
      </c>
      <c r="B148" s="142">
        <f>standaardgegevens!B79/standaardgegevens!C79</f>
        <v>8.7966666666666651</v>
      </c>
      <c r="C148" s="26"/>
      <c r="D148" s="26"/>
      <c r="E148" s="141"/>
    </row>
    <row r="149" spans="1:5" x14ac:dyDescent="0.3">
      <c r="A149" s="40" t="s">
        <v>110</v>
      </c>
      <c r="B149" s="40">
        <f>(algemeen!D14*standaardgegevens!B84)+((1-standaardgegevens!B84)*algemeen!D15)</f>
        <v>12.602999999999998</v>
      </c>
      <c r="C149" s="40">
        <f>standaardgegevens!B82/(10000/(algemeen!D33))</f>
        <v>3.875E-2</v>
      </c>
      <c r="D149" s="26">
        <v>10</v>
      </c>
      <c r="E149" s="141">
        <f t="shared" si="6"/>
        <v>4.8836624999999988E-2</v>
      </c>
    </row>
    <row r="150" spans="1:5" x14ac:dyDescent="0.3">
      <c r="D150" s="21" t="s">
        <v>114</v>
      </c>
      <c r="E150" s="116">
        <f>SUM(E141:E149)</f>
        <v>0.76117132196969706</v>
      </c>
    </row>
    <row r="152" spans="1:5" x14ac:dyDescent="0.3">
      <c r="D152" s="45" t="s">
        <v>115</v>
      </c>
      <c r="E152" s="99">
        <f>E150/algemeen!D36</f>
        <v>0.10660662772684833</v>
      </c>
    </row>
    <row r="154" spans="1:5" ht="43.5" customHeight="1" x14ac:dyDescent="0.3">
      <c r="A154" s="38"/>
    </row>
    <row r="155" spans="1:5" x14ac:dyDescent="0.3">
      <c r="A155" s="53" t="s">
        <v>72</v>
      </c>
    </row>
    <row r="156" spans="1:5" x14ac:dyDescent="0.3">
      <c r="B156" t="s">
        <v>277</v>
      </c>
      <c r="C156" t="s">
        <v>62</v>
      </c>
      <c r="D156" t="s">
        <v>279</v>
      </c>
    </row>
    <row r="157" spans="1:5" x14ac:dyDescent="0.3">
      <c r="A157" s="29" t="str">
        <f>standaardgegevens!A89</f>
        <v>bamboe (213, 16/18)</v>
      </c>
      <c r="B157" s="29">
        <f>algemeen!D24</f>
        <v>2</v>
      </c>
      <c r="C157" s="29">
        <v>5</v>
      </c>
      <c r="D157" s="121">
        <f>(standaardgegevens!D89*B157)/C157</f>
        <v>0.13236000000000001</v>
      </c>
    </row>
    <row r="158" spans="1:5" x14ac:dyDescent="0.3">
      <c r="A158" s="29" t="str">
        <f>standaardgegevens!A90</f>
        <v>kleinfruitclipsen rema allzwecker</v>
      </c>
      <c r="B158" s="29">
        <f>algemeen!D24</f>
        <v>2</v>
      </c>
      <c r="C158" s="29">
        <v>5</v>
      </c>
      <c r="D158" s="121">
        <f>(standaardgegevens!D90*berekening!B158)/berekening!C158</f>
        <v>8.5240000000000003E-3</v>
      </c>
    </row>
    <row r="159" spans="1:5" x14ac:dyDescent="0.3">
      <c r="A159" s="29" t="str">
        <f>standaardgegevens!A91</f>
        <v>max tang ( groen model) 4 tangen/ha</v>
      </c>
      <c r="B159" s="140">
        <f>1/((B4/100)*25)</f>
        <v>1.4742739200943535E-4</v>
      </c>
      <c r="C159" s="29">
        <v>3</v>
      </c>
      <c r="D159" s="121">
        <f>(B159*standaardgegevens!B91)/berekening!C159</f>
        <v>1.6393925991449211E-3</v>
      </c>
    </row>
    <row r="160" spans="1:5" x14ac:dyDescent="0.3">
      <c r="A160" s="29" t="str">
        <f>standaardgegevens!A92</f>
        <v>nietjes max tang bio</v>
      </c>
      <c r="B160" s="29">
        <f>algemeen!D24*5</f>
        <v>10</v>
      </c>
      <c r="C160" s="29">
        <v>1</v>
      </c>
      <c r="D160" s="121">
        <f>B160*standaardgegevens!D92</f>
        <v>3.3958333333333327E-3</v>
      </c>
    </row>
    <row r="161" spans="1:4" x14ac:dyDescent="0.3">
      <c r="A161" s="29" t="str">
        <f>standaardgegevens!A93</f>
        <v>lint max tang bio bruin (13 mm)</v>
      </c>
      <c r="B161" s="29">
        <v>5</v>
      </c>
      <c r="C161" s="29">
        <v>1</v>
      </c>
      <c r="D161" s="121">
        <f>standaardgegevens!D93/((30/0.09)*B161)</f>
        <v>6.1079999999999988E-4</v>
      </c>
    </row>
    <row r="162" spans="1:4" x14ac:dyDescent="0.3">
      <c r="A162" s="29" t="str">
        <f>standaardgegevens!A94</f>
        <v>pot</v>
      </c>
      <c r="B162" s="29">
        <v>1</v>
      </c>
      <c r="C162" s="29">
        <v>5</v>
      </c>
      <c r="D162" s="121">
        <f>standaardgegevens!D94/berekening!C162</f>
        <v>0.02</v>
      </c>
    </row>
    <row r="163" spans="1:4" x14ac:dyDescent="0.3">
      <c r="A163" s="88"/>
      <c r="B163" s="88"/>
      <c r="C163" s="21" t="s">
        <v>282</v>
      </c>
      <c r="D163" s="120">
        <f>SUM(D157:D162)</f>
        <v>0.16653002593247823</v>
      </c>
    </row>
    <row r="164" spans="1:4" x14ac:dyDescent="0.3">
      <c r="A164" s="88"/>
      <c r="B164" s="88"/>
      <c r="C164" s="88"/>
      <c r="D164" s="88"/>
    </row>
    <row r="165" spans="1:4" x14ac:dyDescent="0.3">
      <c r="C165" s="45" t="s">
        <v>115</v>
      </c>
      <c r="D165" s="99">
        <f>D163</f>
        <v>0.16653002593247823</v>
      </c>
    </row>
    <row r="168" spans="1:4" x14ac:dyDescent="0.3">
      <c r="A168" s="53" t="s">
        <v>315</v>
      </c>
    </row>
    <row r="170" spans="1:4" x14ac:dyDescent="0.3">
      <c r="A170" t="s">
        <v>316</v>
      </c>
      <c r="B170">
        <f>algemeen!C43</f>
        <v>0</v>
      </c>
    </row>
    <row r="172" spans="1:4" x14ac:dyDescent="0.3">
      <c r="A172" s="21" t="s">
        <v>341</v>
      </c>
      <c r="B172">
        <f>IF(algemeen!C42="ja",algemeen!C43*10000,0)</f>
        <v>0</v>
      </c>
    </row>
    <row r="174" spans="1:4" x14ac:dyDescent="0.3">
      <c r="A174" s="45" t="s">
        <v>115</v>
      </c>
      <c r="B174" s="99">
        <f>B172/B4</f>
        <v>0</v>
      </c>
    </row>
    <row r="178" spans="1:3" x14ac:dyDescent="0.3">
      <c r="A178" s="53" t="s">
        <v>17</v>
      </c>
    </row>
    <row r="179" spans="1:3" x14ac:dyDescent="0.3">
      <c r="A179" s="53"/>
    </row>
    <row r="180" spans="1:3" x14ac:dyDescent="0.3">
      <c r="B180" t="s">
        <v>288</v>
      </c>
      <c r="C180" t="s">
        <v>287</v>
      </c>
    </row>
    <row r="181" spans="1:3" x14ac:dyDescent="0.3">
      <c r="A181" s="29" t="s">
        <v>286</v>
      </c>
      <c r="B181" s="121">
        <f>standaardgegevens!B101/standaardgegevens!B102</f>
        <v>12.5</v>
      </c>
      <c r="C181" s="121">
        <f>B181/algemeen!$C$60</f>
        <v>0.20833333333333334</v>
      </c>
    </row>
    <row r="182" spans="1:3" x14ac:dyDescent="0.3">
      <c r="A182" s="29" t="str">
        <f>standaardgegevens!A103</f>
        <v>transport naar en van koeling (per rit)</v>
      </c>
      <c r="B182" s="121">
        <f>standaardgegevens!B103/24</f>
        <v>10.416666666666666</v>
      </c>
      <c r="C182" s="121">
        <f>B182/algemeen!$C$60</f>
        <v>0.1736111111111111</v>
      </c>
    </row>
    <row r="183" spans="1:3" x14ac:dyDescent="0.3">
      <c r="A183" s="29" t="str">
        <f>standaardgegevens!A104</f>
        <v>varia (oa stretchfolie, etiket,...)</v>
      </c>
      <c r="B183" s="121">
        <f>standaardgegevens!B104</f>
        <v>0.45</v>
      </c>
      <c r="C183" s="121">
        <f>B183/algemeen!$C$60</f>
        <v>7.5000000000000006E-3</v>
      </c>
    </row>
    <row r="184" spans="1:3" x14ac:dyDescent="0.3">
      <c r="A184" s="29" t="str">
        <f>standaardgegevens!A105</f>
        <v>loonkoeling Bel ' Orta met contract week 1</v>
      </c>
      <c r="B184" s="121">
        <f>standaardgegevens!B105</f>
        <v>4.66</v>
      </c>
      <c r="C184" s="121">
        <f>B184/algemeen!$C$60</f>
        <v>7.7666666666666676E-2</v>
      </c>
    </row>
    <row r="185" spans="1:3" x14ac:dyDescent="0.3">
      <c r="A185" s="29" t="s">
        <v>291</v>
      </c>
      <c r="B185" s="121">
        <f>(algemeen!C62-1)*standaardgegevens!B106</f>
        <v>11.16</v>
      </c>
      <c r="C185" s="121">
        <f>B185/algemeen!$C$60</f>
        <v>0.186</v>
      </c>
    </row>
    <row r="186" spans="1:3" x14ac:dyDescent="0.3">
      <c r="A186" s="29" t="s">
        <v>293</v>
      </c>
      <c r="B186" s="121">
        <f>(standaardgegevens!B107*standaardgegevens!B109)*algemeen!D14</f>
        <v>20.273</v>
      </c>
      <c r="C186" s="121">
        <f>B186/algemeen!$C$60</f>
        <v>0.33788333333333331</v>
      </c>
    </row>
    <row r="187" spans="1:3" x14ac:dyDescent="0.3">
      <c r="A187" s="29" t="s">
        <v>294</v>
      </c>
      <c r="B187" s="121">
        <f>(1-standaardgegevens!B109)*standaardgegevens!B107*algemeen!D15</f>
        <v>3.0000000000000027</v>
      </c>
      <c r="C187" s="121">
        <f>B187/algemeen!$C$60</f>
        <v>5.0000000000000044E-2</v>
      </c>
    </row>
    <row r="188" spans="1:3" x14ac:dyDescent="0.3">
      <c r="A188" s="21" t="s">
        <v>282</v>
      </c>
      <c r="B188" s="99">
        <f>SUM(B181:B187)</f>
        <v>62.459666666666664</v>
      </c>
    </row>
    <row r="190" spans="1:3" x14ac:dyDescent="0.3">
      <c r="B190" s="45" t="s">
        <v>115</v>
      </c>
      <c r="C190" s="99">
        <f>IF(algemeen!C59="ja",SUM(berekening!C181:C187),0)</f>
        <v>1.0409944444444443</v>
      </c>
    </row>
    <row r="192" spans="1:3" x14ac:dyDescent="0.3">
      <c r="A192" s="53" t="s">
        <v>163</v>
      </c>
    </row>
    <row r="194" spans="1:3" x14ac:dyDescent="0.3">
      <c r="A194" s="21" t="s">
        <v>295</v>
      </c>
      <c r="B194" s="108">
        <f>algemeen!C65</f>
        <v>500</v>
      </c>
    </row>
    <row r="195" spans="1:3" x14ac:dyDescent="0.3">
      <c r="A195" s="45" t="s">
        <v>279</v>
      </c>
      <c r="B195" s="99">
        <f>B194/B4</f>
        <v>1.842842400117942E-2</v>
      </c>
    </row>
    <row r="199" spans="1:3" x14ac:dyDescent="0.3">
      <c r="A199" s="19" t="s">
        <v>11</v>
      </c>
    </row>
    <row r="200" spans="1:3" x14ac:dyDescent="0.3">
      <c r="A200" s="19"/>
    </row>
    <row r="201" spans="1:3" x14ac:dyDescent="0.3">
      <c r="A201" s="32" t="s">
        <v>124</v>
      </c>
    </row>
    <row r="202" spans="1:3" x14ac:dyDescent="0.3">
      <c r="A202" s="48"/>
      <c r="B202" s="50" t="s">
        <v>126</v>
      </c>
      <c r="C202" s="50" t="s">
        <v>128</v>
      </c>
    </row>
    <row r="203" spans="1:3" x14ac:dyDescent="0.3">
      <c r="A203" s="49" t="s">
        <v>125</v>
      </c>
      <c r="B203" s="29">
        <f>standaardgegevens!B127</f>
        <v>2</v>
      </c>
      <c r="C203" s="113">
        <f>standaardgegevens!B127*algemeen!D15</f>
        <v>60</v>
      </c>
    </row>
    <row r="204" spans="1:3" x14ac:dyDescent="0.3">
      <c r="A204" s="49" t="s">
        <v>127</v>
      </c>
      <c r="B204" s="29">
        <v>12</v>
      </c>
      <c r="C204" s="111">
        <f>COUNT(D225:D236)*C203</f>
        <v>720</v>
      </c>
    </row>
    <row r="207" spans="1:3" x14ac:dyDescent="0.3">
      <c r="A207" s="32" t="s">
        <v>95</v>
      </c>
      <c r="B207" s="54"/>
    </row>
    <row r="208" spans="1:3" x14ac:dyDescent="0.3">
      <c r="A208" s="101" t="s">
        <v>251</v>
      </c>
      <c r="B208" s="102">
        <v>0.75</v>
      </c>
    </row>
    <row r="209" spans="1:9" x14ac:dyDescent="0.3">
      <c r="A209" s="101" t="s">
        <v>247</v>
      </c>
      <c r="B209">
        <f>algemeen!C54</f>
        <v>1.5</v>
      </c>
    </row>
    <row r="210" spans="1:9" x14ac:dyDescent="0.3">
      <c r="A210" t="s">
        <v>237</v>
      </c>
      <c r="B210">
        <f>F221</f>
        <v>7.62</v>
      </c>
    </row>
    <row r="211" spans="1:9" x14ac:dyDescent="0.3">
      <c r="A211" t="s">
        <v>252</v>
      </c>
      <c r="B211" s="114">
        <f>B210*B209</f>
        <v>11.43</v>
      </c>
    </row>
    <row r="213" spans="1:9" x14ac:dyDescent="0.3">
      <c r="A213" s="32" t="s">
        <v>92</v>
      </c>
    </row>
    <row r="214" spans="1:9" x14ac:dyDescent="0.3">
      <c r="A214" s="32"/>
    </row>
    <row r="215" spans="1:9" x14ac:dyDescent="0.3">
      <c r="A215" t="s">
        <v>238</v>
      </c>
    </row>
    <row r="216" spans="1:9" x14ac:dyDescent="0.3">
      <c r="A216" s="51" t="s">
        <v>85</v>
      </c>
      <c r="B216" s="28" t="s">
        <v>86</v>
      </c>
      <c r="C216" s="28" t="s">
        <v>83</v>
      </c>
      <c r="D216" s="28" t="s">
        <v>248</v>
      </c>
      <c r="E216" s="28" t="s">
        <v>249</v>
      </c>
      <c r="F216" s="28" t="s">
        <v>250</v>
      </c>
    </row>
    <row r="217" spans="1:9" x14ac:dyDescent="0.3">
      <c r="A217" s="29" t="s">
        <v>87</v>
      </c>
      <c r="B217" s="29" t="s">
        <v>82</v>
      </c>
      <c r="C217" s="29">
        <v>1.2</v>
      </c>
      <c r="D217" s="29">
        <v>1</v>
      </c>
      <c r="E217" s="29">
        <f>((algemeen!$D$35*algemeen!$D$34)*berekening!C217)*2/10000</f>
        <v>0.48</v>
      </c>
      <c r="F217" s="29">
        <f>D217*E217*$B$208</f>
        <v>0.36</v>
      </c>
    </row>
    <row r="218" spans="1:9" x14ac:dyDescent="0.3">
      <c r="A218" s="52">
        <v>44027</v>
      </c>
      <c r="B218" s="52">
        <v>44058</v>
      </c>
      <c r="C218" s="29">
        <v>1.6</v>
      </c>
      <c r="D218" s="29">
        <v>2</v>
      </c>
      <c r="E218" s="29">
        <f>((algemeen!$D$35*algemeen!$D$34)*berekening!C218)*2/10000</f>
        <v>0.64</v>
      </c>
      <c r="F218" s="29">
        <f t="shared" ref="F218:F220" si="7">D218*E218*$B$208</f>
        <v>0.96</v>
      </c>
    </row>
    <row r="219" spans="1:9" x14ac:dyDescent="0.3">
      <c r="A219" s="52">
        <v>44058</v>
      </c>
      <c r="B219" s="52">
        <v>44089</v>
      </c>
      <c r="C219" s="29">
        <v>2</v>
      </c>
      <c r="D219" s="29">
        <v>3</v>
      </c>
      <c r="E219" s="29">
        <f>((algemeen!$D$35*algemeen!$D$34)*berekening!C219)*2/10000</f>
        <v>0.8</v>
      </c>
      <c r="F219" s="29">
        <f t="shared" si="7"/>
        <v>1.8000000000000003</v>
      </c>
    </row>
    <row r="220" spans="1:9" x14ac:dyDescent="0.3">
      <c r="A220" s="29" t="s">
        <v>84</v>
      </c>
      <c r="B220" s="29" t="s">
        <v>88</v>
      </c>
      <c r="C220" s="29">
        <v>2.5</v>
      </c>
      <c r="D220" s="29">
        <v>6</v>
      </c>
      <c r="E220" s="29">
        <f>((algemeen!$D$35*algemeen!$D$34)*berekening!C220)*2/10000</f>
        <v>1</v>
      </c>
      <c r="F220" s="29">
        <f t="shared" si="7"/>
        <v>4.5</v>
      </c>
    </row>
    <row r="221" spans="1:9" x14ac:dyDescent="0.3">
      <c r="D221" s="53">
        <f>SUM(D217:D220)</f>
        <v>12</v>
      </c>
      <c r="E221" s="53"/>
      <c r="F221" s="53">
        <f>SUM(F217:F220)</f>
        <v>7.62</v>
      </c>
    </row>
    <row r="223" spans="1:9" x14ac:dyDescent="0.3">
      <c r="I223" t="s">
        <v>97</v>
      </c>
    </row>
    <row r="224" spans="1:9" x14ac:dyDescent="0.3">
      <c r="A224" s="23" t="s">
        <v>66</v>
      </c>
      <c r="B224" s="23" t="s">
        <v>67</v>
      </c>
      <c r="C224" s="23" t="s">
        <v>70</v>
      </c>
      <c r="D224" s="23" t="s">
        <v>69</v>
      </c>
      <c r="E224" s="23"/>
      <c r="F224" s="23" t="s">
        <v>68</v>
      </c>
      <c r="G224" s="23" t="s">
        <v>54</v>
      </c>
      <c r="H224" s="23" t="s">
        <v>55</v>
      </c>
      <c r="I224" s="28" t="s">
        <v>93</v>
      </c>
    </row>
    <row r="225" spans="1:9" ht="43.2" x14ac:dyDescent="0.3">
      <c r="A225" s="24" t="s">
        <v>42</v>
      </c>
      <c r="B225" s="24" t="s">
        <v>24</v>
      </c>
      <c r="C225" s="24" t="s">
        <v>25</v>
      </c>
      <c r="D225" s="25">
        <v>0.7</v>
      </c>
      <c r="E225" s="24" t="s">
        <v>26</v>
      </c>
      <c r="F225" s="24" t="s">
        <v>27</v>
      </c>
      <c r="G225" s="26"/>
      <c r="H225" s="26">
        <f>D225*G225</f>
        <v>0</v>
      </c>
      <c r="I225" s="29">
        <f t="shared" ref="I225:I229" si="8">H225*C$220</f>
        <v>0</v>
      </c>
    </row>
    <row r="226" spans="1:9" ht="43.2" x14ac:dyDescent="0.3">
      <c r="A226" s="24" t="s">
        <v>43</v>
      </c>
      <c r="B226" s="24" t="s">
        <v>24</v>
      </c>
      <c r="C226" s="24" t="s">
        <v>25</v>
      </c>
      <c r="D226" s="25">
        <v>0.7</v>
      </c>
      <c r="E226" s="24" t="s">
        <v>26</v>
      </c>
      <c r="F226" s="24" t="s">
        <v>27</v>
      </c>
      <c r="G226" s="26"/>
      <c r="H226" s="26">
        <f t="shared" ref="H226:H236" si="9">D226*G226</f>
        <v>0</v>
      </c>
      <c r="I226" s="29">
        <f t="shared" si="8"/>
        <v>0</v>
      </c>
    </row>
    <row r="227" spans="1:9" x14ac:dyDescent="0.3">
      <c r="A227" s="24" t="s">
        <v>44</v>
      </c>
      <c r="B227" s="24" t="s">
        <v>28</v>
      </c>
      <c r="C227" s="24" t="s">
        <v>29</v>
      </c>
      <c r="D227" s="25">
        <v>0.23</v>
      </c>
      <c r="E227" s="24" t="s">
        <v>30</v>
      </c>
      <c r="F227" s="24" t="s">
        <v>31</v>
      </c>
      <c r="G227" s="26">
        <v>96</v>
      </c>
      <c r="H227" s="26">
        <f t="shared" si="9"/>
        <v>22.080000000000002</v>
      </c>
      <c r="I227" s="29">
        <f t="shared" si="8"/>
        <v>55.2</v>
      </c>
    </row>
    <row r="228" spans="1:9" ht="43.2" x14ac:dyDescent="0.3">
      <c r="A228" s="24" t="s">
        <v>45</v>
      </c>
      <c r="B228" s="24" t="s">
        <v>24</v>
      </c>
      <c r="C228" s="24" t="s">
        <v>25</v>
      </c>
      <c r="D228" s="25">
        <v>0.7</v>
      </c>
      <c r="E228" s="24" t="s">
        <v>26</v>
      </c>
      <c r="F228" s="24" t="s">
        <v>27</v>
      </c>
      <c r="G228" s="26"/>
      <c r="H228" s="26">
        <f t="shared" si="9"/>
        <v>0</v>
      </c>
      <c r="I228" s="29">
        <f t="shared" si="8"/>
        <v>0</v>
      </c>
    </row>
    <row r="229" spans="1:9" ht="43.2" x14ac:dyDescent="0.3">
      <c r="A229" s="24" t="s">
        <v>46</v>
      </c>
      <c r="B229" s="24" t="s">
        <v>32</v>
      </c>
      <c r="C229" s="24" t="s">
        <v>33</v>
      </c>
      <c r="D229" s="25">
        <v>6</v>
      </c>
      <c r="E229" s="24" t="s">
        <v>30</v>
      </c>
      <c r="F229" s="24" t="s">
        <v>31</v>
      </c>
      <c r="G229" s="26">
        <v>1.85</v>
      </c>
      <c r="H229" s="26">
        <f t="shared" si="9"/>
        <v>11.100000000000001</v>
      </c>
      <c r="I229" s="29">
        <f t="shared" si="8"/>
        <v>27.750000000000004</v>
      </c>
    </row>
    <row r="230" spans="1:9" x14ac:dyDescent="0.3">
      <c r="A230" s="24" t="s">
        <v>47</v>
      </c>
      <c r="B230" s="24" t="s">
        <v>34</v>
      </c>
      <c r="C230" s="24" t="s">
        <v>35</v>
      </c>
      <c r="D230" s="25">
        <v>0.25</v>
      </c>
      <c r="E230" s="24" t="s">
        <v>30</v>
      </c>
      <c r="F230" s="24" t="s">
        <v>36</v>
      </c>
      <c r="G230" s="26">
        <v>180.55</v>
      </c>
      <c r="H230" s="26">
        <f t="shared" si="9"/>
        <v>45.137500000000003</v>
      </c>
      <c r="I230" s="29">
        <f>H230*C$220</f>
        <v>112.84375</v>
      </c>
    </row>
    <row r="231" spans="1:9" x14ac:dyDescent="0.3">
      <c r="A231" s="24" t="s">
        <v>48</v>
      </c>
      <c r="B231" s="24" t="s">
        <v>28</v>
      </c>
      <c r="C231" s="24" t="s">
        <v>29</v>
      </c>
      <c r="D231" s="25">
        <v>0.23</v>
      </c>
      <c r="E231" s="24" t="s">
        <v>30</v>
      </c>
      <c r="F231" s="24" t="s">
        <v>31</v>
      </c>
      <c r="G231" s="26">
        <v>96</v>
      </c>
      <c r="H231" s="26">
        <f t="shared" si="9"/>
        <v>22.080000000000002</v>
      </c>
      <c r="I231" s="29">
        <f t="shared" ref="I231:I232" si="10">H231*C217</f>
        <v>26.496000000000002</v>
      </c>
    </row>
    <row r="232" spans="1:9" x14ac:dyDescent="0.3">
      <c r="A232" s="24" t="s">
        <v>49</v>
      </c>
      <c r="B232" s="24" t="s">
        <v>28</v>
      </c>
      <c r="C232" s="24" t="s">
        <v>29</v>
      </c>
      <c r="D232" s="25">
        <v>0.23</v>
      </c>
      <c r="E232" s="24" t="s">
        <v>30</v>
      </c>
      <c r="F232" s="24" t="s">
        <v>31</v>
      </c>
      <c r="G232" s="26">
        <v>96</v>
      </c>
      <c r="H232" s="26">
        <f t="shared" si="9"/>
        <v>22.080000000000002</v>
      </c>
      <c r="I232" s="29">
        <f t="shared" si="10"/>
        <v>35.328000000000003</v>
      </c>
    </row>
    <row r="233" spans="1:9" ht="43.2" x14ac:dyDescent="0.3">
      <c r="A233" s="24" t="s">
        <v>50</v>
      </c>
      <c r="B233" s="24" t="s">
        <v>37</v>
      </c>
      <c r="C233" s="24" t="s">
        <v>38</v>
      </c>
      <c r="D233" s="25">
        <v>2</v>
      </c>
      <c r="E233" s="24" t="s">
        <v>26</v>
      </c>
      <c r="F233" s="24" t="s">
        <v>39</v>
      </c>
      <c r="G233" s="26">
        <v>19.53</v>
      </c>
      <c r="H233" s="26">
        <f t="shared" si="9"/>
        <v>39.06</v>
      </c>
      <c r="I233" s="29">
        <f>H233*C$219</f>
        <v>78.12</v>
      </c>
    </row>
    <row r="234" spans="1:9" ht="43.2" x14ac:dyDescent="0.3">
      <c r="A234" s="24" t="s">
        <v>51</v>
      </c>
      <c r="B234" s="24" t="s">
        <v>37</v>
      </c>
      <c r="C234" s="24" t="s">
        <v>38</v>
      </c>
      <c r="D234" s="25">
        <v>2</v>
      </c>
      <c r="E234" s="24" t="s">
        <v>26</v>
      </c>
      <c r="F234" s="24" t="s">
        <v>39</v>
      </c>
      <c r="G234" s="26">
        <v>19.53</v>
      </c>
      <c r="H234" s="26">
        <f t="shared" si="9"/>
        <v>39.06</v>
      </c>
      <c r="I234" s="29">
        <f>C$218*H234</f>
        <v>62.496000000000009</v>
      </c>
    </row>
    <row r="235" spans="1:9" ht="28.8" x14ac:dyDescent="0.3">
      <c r="A235" s="24" t="s">
        <v>52</v>
      </c>
      <c r="B235" s="24" t="s">
        <v>40</v>
      </c>
      <c r="C235" s="24" t="s">
        <v>41</v>
      </c>
      <c r="D235" s="25">
        <v>0.5</v>
      </c>
      <c r="E235" s="24" t="s">
        <v>30</v>
      </c>
      <c r="F235" s="24" t="s">
        <v>39</v>
      </c>
      <c r="G235" s="26">
        <v>8.92</v>
      </c>
      <c r="H235" s="26">
        <f t="shared" si="9"/>
        <v>4.46</v>
      </c>
      <c r="I235" s="29">
        <f>C$218*H235</f>
        <v>7.1360000000000001</v>
      </c>
    </row>
    <row r="236" spans="1:9" ht="43.2" x14ac:dyDescent="0.3">
      <c r="A236" s="24" t="s">
        <v>53</v>
      </c>
      <c r="B236" s="24" t="s">
        <v>37</v>
      </c>
      <c r="C236" s="24" t="s">
        <v>38</v>
      </c>
      <c r="D236" s="25">
        <v>2</v>
      </c>
      <c r="E236" s="24" t="s">
        <v>26</v>
      </c>
      <c r="F236" s="24" t="s">
        <v>39</v>
      </c>
      <c r="G236" s="26">
        <v>19.53</v>
      </c>
      <c r="H236" s="26">
        <f t="shared" si="9"/>
        <v>39.06</v>
      </c>
      <c r="I236" s="29">
        <f>H236*C217</f>
        <v>46.872</v>
      </c>
    </row>
    <row r="237" spans="1:9" ht="18" x14ac:dyDescent="0.35">
      <c r="A237" s="27"/>
      <c r="B237" s="27"/>
      <c r="C237" s="27"/>
      <c r="D237" s="27"/>
      <c r="E237" s="27"/>
      <c r="F237" s="27"/>
      <c r="G237" s="27"/>
      <c r="H237" s="30" t="s">
        <v>94</v>
      </c>
      <c r="I237" s="31">
        <f>SUM(I225:I236)</f>
        <v>452.24175000000002</v>
      </c>
    </row>
    <row r="240" spans="1:9" x14ac:dyDescent="0.3">
      <c r="A240" s="33"/>
      <c r="H240" s="42"/>
    </row>
    <row r="241" spans="1:3" x14ac:dyDescent="0.3">
      <c r="A241" s="33" t="s">
        <v>96</v>
      </c>
    </row>
    <row r="242" spans="1:3" x14ac:dyDescent="0.3">
      <c r="A242" t="s">
        <v>269</v>
      </c>
      <c r="B242" s="92">
        <f>standaardgegevens!B131</f>
        <v>440</v>
      </c>
    </row>
    <row r="243" spans="1:3" x14ac:dyDescent="0.3">
      <c r="A243" t="s">
        <v>129</v>
      </c>
      <c r="B243">
        <f>standaardgegevens!B127</f>
        <v>2</v>
      </c>
    </row>
    <row r="244" spans="1:3" x14ac:dyDescent="0.3">
      <c r="A244" t="s">
        <v>130</v>
      </c>
      <c r="B244">
        <f>COUNT(D225:D236)</f>
        <v>12</v>
      </c>
    </row>
    <row r="245" spans="1:3" x14ac:dyDescent="0.3">
      <c r="A245" t="s">
        <v>131</v>
      </c>
      <c r="B245" s="92">
        <f>standaardgegevens!B130</f>
        <v>15</v>
      </c>
    </row>
    <row r="246" spans="1:3" x14ac:dyDescent="0.3">
      <c r="A246" t="s">
        <v>246</v>
      </c>
      <c r="B246" s="92">
        <f>standaardgegevens!B128*algemeen!D17</f>
        <v>5.8999999999999995</v>
      </c>
    </row>
    <row r="247" spans="1:3" x14ac:dyDescent="0.3">
      <c r="A247" s="19" t="s">
        <v>276</v>
      </c>
      <c r="B247" s="100">
        <f>(B245*B244)+B246+B242</f>
        <v>625.9</v>
      </c>
    </row>
    <row r="251" spans="1:3" x14ac:dyDescent="0.3">
      <c r="A251" s="53" t="s">
        <v>133</v>
      </c>
      <c r="B251" s="123">
        <f>B247+I237+C204+B211</f>
        <v>1809.5717500000001</v>
      </c>
      <c r="C251" s="54"/>
    </row>
    <row r="254" spans="1:3" x14ac:dyDescent="0.3">
      <c r="B254" s="45" t="s">
        <v>115</v>
      </c>
      <c r="C254" s="99">
        <f>B251/B4</f>
        <v>6.6695110939112484E-2</v>
      </c>
    </row>
    <row r="257" spans="1:4" x14ac:dyDescent="0.3">
      <c r="A257" s="19" t="s">
        <v>147</v>
      </c>
    </row>
    <row r="258" spans="1:4" x14ac:dyDescent="0.3">
      <c r="A258" s="19"/>
    </row>
    <row r="259" spans="1:4" x14ac:dyDescent="0.3">
      <c r="A259" s="38" t="s">
        <v>328</v>
      </c>
    </row>
    <row r="261" spans="1:4" x14ac:dyDescent="0.3">
      <c r="A261" s="23" t="s">
        <v>67</v>
      </c>
      <c r="B261" s="23" t="s">
        <v>323</v>
      </c>
      <c r="C261" s="23" t="s">
        <v>214</v>
      </c>
      <c r="D261" s="23" t="s">
        <v>120</v>
      </c>
    </row>
    <row r="262" spans="1:4" x14ac:dyDescent="0.3">
      <c r="A262" s="126" t="s">
        <v>255</v>
      </c>
      <c r="B262" s="126"/>
      <c r="C262" s="126"/>
      <c r="D262" s="126"/>
    </row>
    <row r="263" spans="1:4" x14ac:dyDescent="0.3">
      <c r="A263" s="24" t="s">
        <v>261</v>
      </c>
      <c r="B263" s="24">
        <f>standaardgegevens!B157</f>
        <v>0.8</v>
      </c>
      <c r="C263" s="40">
        <f>standaardgegevens!C157</f>
        <v>63.65</v>
      </c>
      <c r="D263" s="105">
        <f>B263*C263</f>
        <v>50.92</v>
      </c>
    </row>
    <row r="264" spans="1:4" x14ac:dyDescent="0.3">
      <c r="A264" s="43" t="s">
        <v>259</v>
      </c>
      <c r="B264" s="24">
        <f>standaardgegevens!B158</f>
        <v>3.1</v>
      </c>
      <c r="C264" s="40">
        <f>standaardgegevens!C158</f>
        <v>34</v>
      </c>
      <c r="D264" s="105">
        <f>B264*C264</f>
        <v>105.4</v>
      </c>
    </row>
    <row r="265" spans="1:4" x14ac:dyDescent="0.3">
      <c r="A265" s="126" t="s">
        <v>256</v>
      </c>
      <c r="B265" s="126"/>
      <c r="C265" s="126"/>
      <c r="D265" s="126"/>
    </row>
    <row r="266" spans="1:4" x14ac:dyDescent="0.3">
      <c r="A266" s="24" t="s">
        <v>261</v>
      </c>
      <c r="B266" s="24">
        <f>standaardgegevens!B160</f>
        <v>0.8</v>
      </c>
      <c r="C266" s="40">
        <f>standaardgegevens!C160</f>
        <v>63.65</v>
      </c>
      <c r="D266" s="105">
        <f>B266*C266</f>
        <v>50.92</v>
      </c>
    </row>
    <row r="267" spans="1:4" x14ac:dyDescent="0.3">
      <c r="A267" s="24" t="s">
        <v>258</v>
      </c>
      <c r="B267" s="24">
        <f>standaardgegevens!B161</f>
        <v>4.4000000000000004</v>
      </c>
      <c r="C267" s="40">
        <f>standaardgegevens!C161</f>
        <v>15.91</v>
      </c>
      <c r="D267" s="105">
        <f>B267*C267</f>
        <v>70.004000000000005</v>
      </c>
    </row>
    <row r="268" spans="1:4" x14ac:dyDescent="0.3">
      <c r="A268" s="128" t="s">
        <v>257</v>
      </c>
      <c r="B268" s="126"/>
      <c r="C268" s="126"/>
      <c r="D268" s="131"/>
    </row>
    <row r="269" spans="1:4" x14ac:dyDescent="0.3">
      <c r="A269" s="24" t="str">
        <f>A266</f>
        <v>Gozai</v>
      </c>
      <c r="B269" s="24">
        <f>standaardgegevens!B163</f>
        <v>0.8</v>
      </c>
      <c r="C269" s="40">
        <f>standaardgegevens!C163</f>
        <v>63.65</v>
      </c>
      <c r="D269" s="105">
        <f>B269*C269</f>
        <v>50.92</v>
      </c>
    </row>
    <row r="270" spans="1:4" x14ac:dyDescent="0.3">
      <c r="C270" s="125" t="s">
        <v>324</v>
      </c>
      <c r="D270" s="92">
        <f>SUM(D263:D269)</f>
        <v>328.16400000000004</v>
      </c>
    </row>
    <row r="271" spans="1:4" x14ac:dyDescent="0.3">
      <c r="D271" s="92"/>
    </row>
    <row r="272" spans="1:4" x14ac:dyDescent="0.3">
      <c r="C272" s="45" t="s">
        <v>115</v>
      </c>
      <c r="D272" s="99">
        <f>D270/B4</f>
        <v>1.2095090667846087E-2</v>
      </c>
    </row>
    <row r="274" spans="1:2" x14ac:dyDescent="0.3">
      <c r="A274" s="38" t="s">
        <v>329</v>
      </c>
    </row>
    <row r="276" spans="1:2" x14ac:dyDescent="0.3">
      <c r="A276" t="s">
        <v>325</v>
      </c>
      <c r="B276">
        <f>(standaardgegevens!B167*standaardgegevens!B165*algemeen!D35)/60</f>
        <v>16.839999999999996</v>
      </c>
    </row>
    <row r="278" spans="1:2" x14ac:dyDescent="0.3">
      <c r="A278" s="125" t="s">
        <v>326</v>
      </c>
      <c r="B278" s="132">
        <f>B276*algemeen!D15</f>
        <v>505.19999999999987</v>
      </c>
    </row>
    <row r="280" spans="1:2" x14ac:dyDescent="0.3">
      <c r="A280" s="45" t="s">
        <v>115</v>
      </c>
      <c r="B280" s="99">
        <f>B278/B4</f>
        <v>1.8620079610791679E-2</v>
      </c>
    </row>
    <row r="282" spans="1:2" x14ac:dyDescent="0.3">
      <c r="A282" s="38" t="s">
        <v>330</v>
      </c>
    </row>
    <row r="284" spans="1:2" x14ac:dyDescent="0.3">
      <c r="A284" s="125" t="s">
        <v>327</v>
      </c>
      <c r="B284">
        <f>(standaardgegevens!B168*standaardgegevens!B169)+(standaardgegevens!B168/5)</f>
        <v>45.874400000000001</v>
      </c>
    </row>
    <row r="286" spans="1:2" x14ac:dyDescent="0.3">
      <c r="A286" s="45" t="s">
        <v>115</v>
      </c>
      <c r="B286" s="99">
        <f>B284/B4</f>
        <v>1.6907857879994103E-3</v>
      </c>
    </row>
    <row r="287" spans="1:2" x14ac:dyDescent="0.3">
      <c r="B287" s="99"/>
    </row>
    <row r="288" spans="1:2" x14ac:dyDescent="0.3">
      <c r="B288" s="99"/>
    </row>
    <row r="289" spans="1:3" x14ac:dyDescent="0.3">
      <c r="A289" s="53" t="s">
        <v>331</v>
      </c>
      <c r="B289" s="99"/>
    </row>
    <row r="290" spans="1:3" x14ac:dyDescent="0.3">
      <c r="A290" s="53"/>
      <c r="B290" s="99"/>
    </row>
    <row r="291" spans="1:3" x14ac:dyDescent="0.3">
      <c r="A291" s="125" t="s">
        <v>332</v>
      </c>
      <c r="B291" s="99">
        <f>D270+B278+B284</f>
        <v>879.23839999999996</v>
      </c>
    </row>
    <row r="292" spans="1:3" x14ac:dyDescent="0.3">
      <c r="B292" s="99"/>
    </row>
    <row r="293" spans="1:3" x14ac:dyDescent="0.3">
      <c r="A293" s="45" t="s">
        <v>115</v>
      </c>
      <c r="B293" s="99">
        <f>B286+B280+D272</f>
        <v>3.2405956066637175E-2</v>
      </c>
    </row>
    <row r="295" spans="1:3" x14ac:dyDescent="0.3">
      <c r="A295" s="19" t="s">
        <v>151</v>
      </c>
    </row>
    <row r="296" spans="1:3" x14ac:dyDescent="0.3">
      <c r="C296" s="53" t="s">
        <v>171</v>
      </c>
    </row>
    <row r="297" spans="1:3" x14ac:dyDescent="0.3">
      <c r="A297" s="26" t="s">
        <v>170</v>
      </c>
      <c r="B297" s="26">
        <f>standaardgegevens!B174</f>
        <v>5000</v>
      </c>
      <c r="C297" s="113">
        <f>(B297/5)+(B297*B302)</f>
        <v>1250</v>
      </c>
    </row>
    <row r="298" spans="1:3" x14ac:dyDescent="0.3">
      <c r="A298" s="26" t="s">
        <v>240</v>
      </c>
      <c r="B298" s="26">
        <f>standaardgegevens!B175</f>
        <v>5</v>
      </c>
      <c r="C298" s="113">
        <f>B298*algemeen!D17</f>
        <v>2.9499999999999997</v>
      </c>
    </row>
    <row r="299" spans="1:3" x14ac:dyDescent="0.3">
      <c r="A299" s="26" t="s">
        <v>243</v>
      </c>
      <c r="B299" s="26">
        <f>standaardgegevens!B176</f>
        <v>30</v>
      </c>
      <c r="C299" s="113">
        <f>B299*C298</f>
        <v>88.499999999999986</v>
      </c>
    </row>
    <row r="300" spans="1:3" x14ac:dyDescent="0.3">
      <c r="A300" s="26" t="s">
        <v>244</v>
      </c>
      <c r="B300" s="26">
        <f>algemeen!D15</f>
        <v>30</v>
      </c>
      <c r="C300" s="113">
        <f>B300*algemeen!D15</f>
        <v>900</v>
      </c>
    </row>
    <row r="301" spans="1:3" x14ac:dyDescent="0.3">
      <c r="A301" s="26" t="s">
        <v>169</v>
      </c>
      <c r="B301" s="26">
        <f>standaardgegevens!B177</f>
        <v>1280</v>
      </c>
      <c r="C301" s="113">
        <f>B301/5</f>
        <v>256</v>
      </c>
    </row>
    <row r="302" spans="1:3" x14ac:dyDescent="0.3">
      <c r="A302" s="26" t="s">
        <v>168</v>
      </c>
      <c r="B302" s="26">
        <f>standaardgegevens!B178</f>
        <v>0.05</v>
      </c>
      <c r="C302" s="113">
        <f>B301*B302</f>
        <v>64</v>
      </c>
    </row>
    <row r="304" spans="1:3" x14ac:dyDescent="0.3">
      <c r="B304" s="53" t="s">
        <v>245</v>
      </c>
      <c r="C304" s="123">
        <f>SUM(C297:C302)</f>
        <v>2561.4499999999998</v>
      </c>
    </row>
    <row r="306" spans="1:3" x14ac:dyDescent="0.3">
      <c r="B306" s="45" t="s">
        <v>115</v>
      </c>
      <c r="C306" s="99">
        <f>C304/B4</f>
        <v>9.4406973315642045E-2</v>
      </c>
    </row>
    <row r="309" spans="1:3" x14ac:dyDescent="0.3">
      <c r="A309" s="19" t="s">
        <v>271</v>
      </c>
    </row>
    <row r="311" spans="1:3" x14ac:dyDescent="0.3">
      <c r="A311" t="s">
        <v>314</v>
      </c>
      <c r="B311" t="str">
        <f>algemeen!C69</f>
        <v>Neen</v>
      </c>
    </row>
    <row r="312" spans="1:3" x14ac:dyDescent="0.3">
      <c r="A312" t="s">
        <v>312</v>
      </c>
      <c r="B312" t="str">
        <f>algemeen!C70</f>
        <v>Neen</v>
      </c>
    </row>
    <row r="313" spans="1:3" x14ac:dyDescent="0.3">
      <c r="A313" t="s">
        <v>313</v>
      </c>
      <c r="B313" s="92">
        <f>algemeen!C72*algemeen!C71</f>
        <v>300</v>
      </c>
    </row>
    <row r="315" spans="1:3" x14ac:dyDescent="0.3">
      <c r="A315" s="53" t="s">
        <v>245</v>
      </c>
      <c r="B315" s="123">
        <f>SUM(B311:B313)</f>
        <v>300</v>
      </c>
    </row>
    <row r="317" spans="1:3" x14ac:dyDescent="0.3">
      <c r="A317" s="45" t="s">
        <v>115</v>
      </c>
      <c r="B317" s="99">
        <f>B315/B4</f>
        <v>1.1057054400707651E-2</v>
      </c>
    </row>
  </sheetData>
  <mergeCells count="6">
    <mergeCell ref="B14:B16"/>
    <mergeCell ref="C14:C16"/>
    <mergeCell ref="D14:D16"/>
    <mergeCell ref="B12:B13"/>
    <mergeCell ref="C12:C13"/>
    <mergeCell ref="D12:D13"/>
  </mergeCells>
  <pageMargins left="0.70866141732283472" right="0.70866141732283472" top="0.74803149606299213" bottom="0.74803149606299213" header="0.31496062992125984" footer="0.31496062992125984"/>
  <pageSetup paperSize="9" orientation="portrait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W44"/>
  <sheetViews>
    <sheetView topLeftCell="A16" zoomScale="80" zoomScaleNormal="80" workbookViewId="0">
      <selection activeCell="O50" sqref="O50"/>
    </sheetView>
  </sheetViews>
  <sheetFormatPr defaultColWidth="9.109375" defaultRowHeight="14.4" x14ac:dyDescent="0.3"/>
  <cols>
    <col min="1" max="1" width="9.109375" style="146" customWidth="1"/>
    <col min="2" max="2" width="40.77734375" style="146" customWidth="1"/>
    <col min="3" max="3" width="12.6640625" style="146" bestFit="1" customWidth="1"/>
    <col min="4" max="16384" width="9.109375" style="146"/>
  </cols>
  <sheetData>
    <row r="2" spans="2:3" ht="21" x14ac:dyDescent="0.4">
      <c r="B2" s="145" t="s">
        <v>306</v>
      </c>
    </row>
    <row r="5" spans="2:3" ht="18" x14ac:dyDescent="0.35">
      <c r="B5" s="149" t="s">
        <v>297</v>
      </c>
      <c r="C5" s="149" t="s">
        <v>298</v>
      </c>
    </row>
    <row r="6" spans="2:3" ht="18" x14ac:dyDescent="0.35">
      <c r="B6" s="150" t="s">
        <v>299</v>
      </c>
      <c r="C6" s="154">
        <f>berekening!D29</f>
        <v>0.19409687822497423</v>
      </c>
    </row>
    <row r="7" spans="2:3" ht="18" x14ac:dyDescent="0.35">
      <c r="B7" s="150" t="s">
        <v>156</v>
      </c>
      <c r="C7" s="154">
        <f>berekening!B34</f>
        <v>0.81044444444444441</v>
      </c>
    </row>
    <row r="8" spans="2:3" ht="18" x14ac:dyDescent="0.35">
      <c r="B8" s="150" t="s">
        <v>157</v>
      </c>
      <c r="C8" s="154">
        <f>berekening!B41</f>
        <v>1.9</v>
      </c>
    </row>
    <row r="9" spans="2:3" ht="18" x14ac:dyDescent="0.35">
      <c r="B9" s="150" t="s">
        <v>310</v>
      </c>
      <c r="C9" s="154">
        <f>berekening!B107</f>
        <v>0.28400940603728309</v>
      </c>
    </row>
    <row r="10" spans="2:3" ht="18" x14ac:dyDescent="0.35">
      <c r="B10" s="150" t="s">
        <v>309</v>
      </c>
      <c r="C10" s="155">
        <f>berekening!B135</f>
        <v>0.28721108451275246</v>
      </c>
    </row>
    <row r="11" spans="2:3" ht="18" x14ac:dyDescent="0.35">
      <c r="B11" s="150" t="s">
        <v>340</v>
      </c>
      <c r="C11" s="155">
        <f>berekening!B174</f>
        <v>0</v>
      </c>
    </row>
    <row r="12" spans="2:3" ht="18" x14ac:dyDescent="0.35">
      <c r="B12" s="150" t="s">
        <v>300</v>
      </c>
      <c r="C12" s="154">
        <f>berekening!E152</f>
        <v>0.10660662772684833</v>
      </c>
    </row>
    <row r="13" spans="2:3" ht="18" x14ac:dyDescent="0.35">
      <c r="B13" s="150" t="s">
        <v>301</v>
      </c>
      <c r="C13" s="154">
        <f>berekening!D165</f>
        <v>0.16653002593247823</v>
      </c>
    </row>
    <row r="14" spans="2:3" ht="18" x14ac:dyDescent="0.35">
      <c r="B14" s="150" t="s">
        <v>17</v>
      </c>
      <c r="C14" s="154">
        <f>berekening!C190</f>
        <v>1.0409944444444443</v>
      </c>
    </row>
    <row r="15" spans="2:3" ht="18" x14ac:dyDescent="0.35">
      <c r="B15" s="150" t="s">
        <v>302</v>
      </c>
      <c r="C15" s="154">
        <f>berekening!B195</f>
        <v>1.842842400117942E-2</v>
      </c>
    </row>
    <row r="16" spans="2:3" ht="18" x14ac:dyDescent="0.35">
      <c r="B16" s="150" t="s">
        <v>11</v>
      </c>
      <c r="C16" s="154">
        <f>berekening!C254</f>
        <v>6.6695110939112484E-2</v>
      </c>
    </row>
    <row r="17" spans="2:3" ht="18" x14ac:dyDescent="0.35">
      <c r="B17" s="150" t="s">
        <v>303</v>
      </c>
      <c r="C17" s="154">
        <f>berekening!B293</f>
        <v>3.2405956066637175E-2</v>
      </c>
    </row>
    <row r="18" spans="2:3" ht="18" x14ac:dyDescent="0.35">
      <c r="B18" s="150" t="s">
        <v>151</v>
      </c>
      <c r="C18" s="154">
        <f>berekening!C306</f>
        <v>9.4406973315642045E-2</v>
      </c>
    </row>
    <row r="19" spans="2:3" ht="18" x14ac:dyDescent="0.35">
      <c r="B19" s="150" t="s">
        <v>333</v>
      </c>
      <c r="C19" s="154">
        <f>berekening!B317</f>
        <v>1.1057054400707651E-2</v>
      </c>
    </row>
    <row r="20" spans="2:3" ht="18" x14ac:dyDescent="0.35">
      <c r="B20" s="151"/>
      <c r="C20" s="151"/>
    </row>
    <row r="21" spans="2:3" ht="21" x14ac:dyDescent="0.4">
      <c r="B21" s="147" t="s">
        <v>305</v>
      </c>
      <c r="C21" s="148">
        <f>SUM(C6:C19)</f>
        <v>5.0128864300465032</v>
      </c>
    </row>
    <row r="23" spans="2:3" ht="15.6" x14ac:dyDescent="0.3">
      <c r="B23" s="152" t="s">
        <v>154</v>
      </c>
      <c r="C23" s="153">
        <f>(C21*algemeen!D29)/100</f>
        <v>0</v>
      </c>
    </row>
    <row r="42" spans="8:23" ht="15" thickBot="1" x14ac:dyDescent="0.35"/>
    <row r="43" spans="8:23" x14ac:dyDescent="0.3">
      <c r="H43" s="174" t="s">
        <v>348</v>
      </c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6"/>
    </row>
    <row r="44" spans="8:23" ht="15" thickBot="1" x14ac:dyDescent="0.35">
      <c r="H44" s="177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9"/>
    </row>
  </sheetData>
  <mergeCells count="1">
    <mergeCell ref="H43:W4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algemeen</vt:lpstr>
      <vt:lpstr>standaardgegevens</vt:lpstr>
      <vt:lpstr>berekening</vt:lpstr>
      <vt:lpstr>simulatie HFB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Kerbusch</dc:creator>
  <cp:lastModifiedBy>Alexander Kerbusch</cp:lastModifiedBy>
  <dcterms:created xsi:type="dcterms:W3CDTF">2020-04-14T05:56:14Z</dcterms:created>
  <dcterms:modified xsi:type="dcterms:W3CDTF">2022-02-22T09:06:40Z</dcterms:modified>
</cp:coreProperties>
</file>